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autoCompressPictures="0" defaultThemeVersion="123820"/>
  <mc:AlternateContent xmlns:mc="http://schemas.openxmlformats.org/markup-compatibility/2006">
    <mc:Choice Requires="x15">
      <x15ac:absPath xmlns:x15ac="http://schemas.microsoft.com/office/spreadsheetml/2010/11/ac" url="J:\Gloria\Elaine Fauntleroy\"/>
    </mc:Choice>
  </mc:AlternateContent>
  <xr:revisionPtr revIDLastSave="0" documentId="8_{E2FAD67A-2DC1-4EA5-9AED-8CA3370EEC61}" xr6:coauthVersionLast="36" xr6:coauthVersionMax="36" xr10:uidLastSave="{00000000-0000-0000-0000-000000000000}"/>
  <bookViews>
    <workbookView xWindow="0" yWindow="0" windowWidth="19200" windowHeight="8100" xr2:uid="{00000000-000D-0000-FFFF-FFFF00000000}"/>
  </bookViews>
  <sheets>
    <sheet name="Personal Monthly Budget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6" i="1" l="1"/>
  <c r="C56" i="1"/>
  <c r="F55" i="1"/>
  <c r="F54" i="1"/>
  <c r="F53" i="1"/>
  <c r="F52" i="1"/>
  <c r="K43" i="1"/>
  <c r="I43" i="1"/>
  <c r="L42" i="1"/>
  <c r="L41" i="1"/>
  <c r="L40" i="1"/>
  <c r="L39" i="1"/>
  <c r="K49" i="1"/>
  <c r="I49" i="1"/>
  <c r="L48" i="1"/>
  <c r="L47" i="1"/>
  <c r="L46" i="1"/>
  <c r="K36" i="1"/>
  <c r="I36" i="1"/>
  <c r="L35" i="1"/>
  <c r="L34" i="1"/>
  <c r="L33" i="1"/>
  <c r="L32" i="1"/>
  <c r="K29" i="1"/>
  <c r="I29" i="1"/>
  <c r="L28" i="1"/>
  <c r="L27" i="1"/>
  <c r="L26" i="1"/>
  <c r="L25" i="1"/>
  <c r="K22" i="1"/>
  <c r="I22" i="1"/>
  <c r="L21" i="1"/>
  <c r="L20" i="1"/>
  <c r="L19" i="1"/>
  <c r="K16" i="1"/>
  <c r="I16" i="1"/>
  <c r="L15" i="1"/>
  <c r="L14" i="1"/>
  <c r="L13" i="1"/>
  <c r="L12" i="1"/>
  <c r="F14" i="1"/>
  <c r="E27" i="1"/>
  <c r="C27" i="1"/>
  <c r="F26" i="1"/>
  <c r="F25" i="1"/>
  <c r="F24" i="1"/>
  <c r="E21" i="1"/>
  <c r="C21" i="1"/>
  <c r="F20" i="1"/>
  <c r="F19" i="1"/>
  <c r="E16" i="1"/>
  <c r="C16" i="1"/>
  <c r="F15" i="1"/>
  <c r="F13" i="1"/>
  <c r="F12" i="1"/>
  <c r="F48" i="1"/>
  <c r="F43" i="1"/>
  <c r="F44" i="1"/>
  <c r="F45" i="1"/>
  <c r="F46" i="1"/>
  <c r="F47" i="1"/>
  <c r="F30" i="1"/>
  <c r="F31" i="1"/>
  <c r="F32" i="1"/>
  <c r="F33" i="1"/>
  <c r="F34" i="1"/>
  <c r="F35" i="1"/>
  <c r="F36" i="1"/>
  <c r="F37" i="1"/>
  <c r="F38" i="1"/>
  <c r="F39" i="1"/>
  <c r="E49" i="1"/>
  <c r="C49" i="1"/>
  <c r="E40" i="1"/>
  <c r="C40" i="1"/>
  <c r="F6" i="1"/>
  <c r="D31" i="1" s="1"/>
  <c r="F9" i="1"/>
  <c r="F56" i="1" l="1"/>
  <c r="L53" i="1"/>
  <c r="L6" i="1" s="1"/>
  <c r="L51" i="1"/>
  <c r="L4" i="1" s="1"/>
  <c r="D54" i="1"/>
  <c r="D52" i="1"/>
  <c r="D53" i="1"/>
  <c r="D55" i="1"/>
  <c r="D13" i="1"/>
  <c r="D20" i="1"/>
  <c r="D26" i="1"/>
  <c r="D24" i="1"/>
  <c r="D43" i="1"/>
  <c r="D47" i="1"/>
  <c r="D45" i="1"/>
  <c r="J15" i="1"/>
  <c r="J13" i="1"/>
  <c r="J19" i="1"/>
  <c r="J20" i="1"/>
  <c r="J25" i="1"/>
  <c r="J27" i="1"/>
  <c r="J35" i="1"/>
  <c r="J33" i="1"/>
  <c r="J39" i="1"/>
  <c r="J41" i="1"/>
  <c r="J48" i="1"/>
  <c r="L43" i="1"/>
  <c r="D19" i="1"/>
  <c r="D25" i="1"/>
  <c r="D48" i="1"/>
  <c r="D46" i="1"/>
  <c r="D44" i="1"/>
  <c r="J12" i="1"/>
  <c r="J14" i="1"/>
  <c r="J21" i="1"/>
  <c r="J28" i="1"/>
  <c r="J26" i="1"/>
  <c r="J32" i="1"/>
  <c r="J34" i="1"/>
  <c r="J42" i="1"/>
  <c r="J40" i="1"/>
  <c r="J46" i="1"/>
  <c r="J47" i="1"/>
  <c r="L29" i="1"/>
  <c r="L36" i="1"/>
  <c r="L49" i="1"/>
  <c r="L16" i="1"/>
  <c r="L22" i="1"/>
  <c r="D15" i="1"/>
  <c r="D12" i="1"/>
  <c r="D14" i="1"/>
  <c r="D30" i="1"/>
  <c r="D38" i="1"/>
  <c r="D36" i="1"/>
  <c r="D34" i="1"/>
  <c r="D32" i="1"/>
  <c r="D39" i="1"/>
  <c r="D37" i="1"/>
  <c r="D35" i="1"/>
  <c r="D33" i="1"/>
  <c r="F21" i="1"/>
  <c r="F27" i="1"/>
  <c r="F16" i="1"/>
  <c r="F40" i="1"/>
  <c r="F49" i="1"/>
  <c r="L55" i="1" l="1"/>
  <c r="D56" i="1"/>
  <c r="L8" i="1"/>
  <c r="J16" i="1"/>
  <c r="D21" i="1"/>
  <c r="D40" i="1"/>
  <c r="J43" i="1"/>
  <c r="J29" i="1"/>
  <c r="J22" i="1"/>
  <c r="D27" i="1"/>
  <c r="J49" i="1"/>
  <c r="J36" i="1"/>
  <c r="D49" i="1"/>
  <c r="D16" i="1"/>
</calcChain>
</file>

<file path=xl/sharedStrings.xml><?xml version="1.0" encoding="utf-8"?>
<sst xmlns="http://schemas.openxmlformats.org/spreadsheetml/2006/main" count="138" uniqueCount="70">
  <si>
    <t>Projected Cost</t>
  </si>
  <si>
    <t>Actual Cost</t>
  </si>
  <si>
    <t>Difference</t>
  </si>
  <si>
    <t>Income 1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</si>
  <si>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</si>
  <si>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</si>
  <si>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</si>
  <si>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</si>
  <si>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</si>
  <si>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</si>
  <si>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</si>
  <si>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</si>
  <si>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</si>
  <si>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Insurance</t>
  </si>
  <si>
    <t>Fuel</t>
  </si>
  <si>
    <t>Maintenance</t>
  </si>
  <si>
    <t>Home</t>
  </si>
  <si>
    <t>Health</t>
  </si>
  <si>
    <t>Life</t>
  </si>
  <si>
    <t>Groceries</t>
  </si>
  <si>
    <t>Medical</t>
  </si>
  <si>
    <t>Clothing</t>
  </si>
  <si>
    <t>Health club</t>
  </si>
  <si>
    <t>Dining out</t>
  </si>
  <si>
    <t>Movies</t>
  </si>
  <si>
    <t>Concerts</t>
  </si>
  <si>
    <t>Personal</t>
  </si>
  <si>
    <t>Federal</t>
  </si>
  <si>
    <t>Local</t>
  </si>
  <si>
    <t>Alimony</t>
  </si>
  <si>
    <t>Student</t>
  </si>
  <si>
    <t>Personal Monthly Budget</t>
  </si>
  <si>
    <t>Total monthly income</t>
  </si>
  <si>
    <t>Electricity</t>
  </si>
  <si>
    <t>Vehicle payment</t>
  </si>
  <si>
    <t>Sporting events</t>
  </si>
  <si>
    <t>Credit card</t>
  </si>
  <si>
    <t>Retirement account</t>
  </si>
  <si>
    <t>Investment account</t>
  </si>
  <si>
    <t>HOUSING</t>
  </si>
  <si>
    <t>ENTERTAINMENT</t>
  </si>
  <si>
    <t>LOANS</t>
  </si>
  <si>
    <t>TRANSPORTATION</t>
  </si>
  <si>
    <t>TAXES</t>
  </si>
  <si>
    <t>INSURANCE</t>
  </si>
  <si>
    <t>FOOD</t>
  </si>
  <si>
    <t>SAVINGS OR INVESTMENTS</t>
  </si>
  <si>
    <t>LEGAL</t>
  </si>
  <si>
    <t>PERSONAL CARE</t>
  </si>
  <si>
    <t>ACTUAL MONTHLY INCOME</t>
  </si>
  <si>
    <t>PROJECTED MONTHLY INCOME</t>
  </si>
  <si>
    <t>TOTAL PROJECTED COST</t>
  </si>
  <si>
    <t>TOTAL ACTUAL COST</t>
  </si>
  <si>
    <t>TOTAL DIFFERENCE</t>
  </si>
  <si>
    <t>Total</t>
  </si>
  <si>
    <t>PROJECTED BALANCE (Projected income minus expenses)</t>
  </si>
  <si>
    <t>ACTUAL BALANCE (Actual income minus expenses)</t>
  </si>
  <si>
    <t>DIFFERENCE (Actual minus projected)</t>
  </si>
  <si>
    <t>% of Income</t>
  </si>
  <si>
    <t>TITHES AND OFFERINGS</t>
  </si>
  <si>
    <t>Tithe - Church General Budget</t>
  </si>
  <si>
    <t>Offerings - Missions</t>
  </si>
  <si>
    <t>Offerings - Other</t>
  </si>
  <si>
    <t>Offerings - Debt Retirement</t>
  </si>
  <si>
    <t>Income 2</t>
  </si>
  <si>
    <t>Child Support</t>
  </si>
  <si>
    <t>OTHER DONATIONS</t>
  </si>
  <si>
    <t>CRU</t>
  </si>
  <si>
    <t>IMB</t>
  </si>
  <si>
    <t>KARM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</si>
</sst>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\$#,##0"/>
  </numFmts>
  <fonts count="10" x14ac:knownFonts="1"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30"/>
      <color indexed="63"/>
      <name val="Calibri"/>
      <family val="2"/>
      <scheme val="minor"/>
    </font>
    <font>
      <sz val="10"/>
      <color indexed="63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26"/>
      <color indexed="63"/>
      <name val="Cambria"/>
      <family val="1"/>
      <scheme val="maj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5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6" fontId="4" fillId="2" borderId="0" xfId="0" applyNumberFormat="1" applyFont="1" applyFill="1" applyBorder="1" applyAlignment="1">
      <alignment horizontal="left" vertical="center"/>
    </xf>
    <xf numFmtId="6" fontId="4" fillId="2" borderId="0" xfId="0" applyNumberFormat="1" applyFont="1" applyFill="1" applyBorder="1" applyAlignment="1">
      <alignment horizontal="center" vertical="center"/>
    </xf>
    <xf numFmtId="6" fontId="4" fillId="4" borderId="1" xfId="0" applyNumberFormat="1" applyFont="1" applyFill="1" applyBorder="1" applyAlignment="1">
      <alignment horizontal="right" vertical="center"/>
    </xf>
    <xf numFmtId="6" fontId="3" fillId="3" borderId="1" xfId="0" applyNumberFormat="1" applyFont="1" applyFill="1" applyBorder="1" applyAlignment="1">
      <alignment horizontal="right" vertical="center"/>
    </xf>
    <xf numFmtId="0" fontId="6" fillId="0" borderId="6" xfId="0" applyFont="1" applyFill="1" applyBorder="1"/>
    <xf numFmtId="0" fontId="6" fillId="0" borderId="7" xfId="0" applyFont="1" applyFill="1" applyBorder="1"/>
    <xf numFmtId="0" fontId="6" fillId="0" borderId="8" xfId="0" applyFont="1" applyFill="1" applyBorder="1"/>
    <xf numFmtId="164" fontId="6" fillId="0" borderId="7" xfId="0" applyNumberFormat="1" applyFont="1" applyFill="1" applyBorder="1"/>
    <xf numFmtId="164" fontId="6" fillId="0" borderId="8" xfId="0" applyNumberFormat="1" applyFont="1" applyFill="1" applyBorder="1" applyAlignment="1">
      <alignment horizontal="right" vertical="center"/>
    </xf>
    <xf numFmtId="164" fontId="7" fillId="0" borderId="7" xfId="0" applyNumberFormat="1" applyFont="1" applyFill="1" applyBorder="1"/>
    <xf numFmtId="164" fontId="6" fillId="0" borderId="8" xfId="0" applyNumberFormat="1" applyFont="1" applyFill="1" applyBorder="1"/>
    <xf numFmtId="0" fontId="6" fillId="0" borderId="6" xfId="0" applyFont="1" applyFill="1" applyBorder="1" applyAlignment="1">
      <alignment shrinkToFit="1"/>
    </xf>
    <xf numFmtId="0" fontId="6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Fill="1" applyBorder="1"/>
    <xf numFmtId="164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/>
    <xf numFmtId="164" fontId="7" fillId="0" borderId="0" xfId="0" applyNumberFormat="1" applyFont="1" applyFill="1" applyBorder="1"/>
    <xf numFmtId="165" fontId="0" fillId="0" borderId="0" xfId="0" applyNumberFormat="1" applyFont="1" applyFill="1"/>
    <xf numFmtId="9" fontId="6" fillId="0" borderId="7" xfId="1" applyFont="1" applyFill="1" applyBorder="1"/>
    <xf numFmtId="165" fontId="6" fillId="0" borderId="8" xfId="0" applyNumberFormat="1" applyFont="1" applyFill="1" applyBorder="1" applyAlignment="1">
      <alignment horizontal="right" vertical="center"/>
    </xf>
    <xf numFmtId="165" fontId="6" fillId="0" borderId="7" xfId="0" applyNumberFormat="1" applyFont="1" applyFill="1" applyBorder="1"/>
    <xf numFmtId="9" fontId="6" fillId="0" borderId="7" xfId="0" applyNumberFormat="1" applyFont="1" applyFill="1" applyBorder="1"/>
    <xf numFmtId="9" fontId="0" fillId="0" borderId="0" xfId="1" applyFont="1" applyFill="1"/>
    <xf numFmtId="9" fontId="0" fillId="0" borderId="7" xfId="1" applyFont="1" applyFill="1" applyBorder="1"/>
    <xf numFmtId="9" fontId="9" fillId="0" borderId="0" xfId="1" applyFont="1" applyFill="1"/>
    <xf numFmtId="6" fontId="4" fillId="4" borderId="2" xfId="0" applyNumberFormat="1" applyFont="1" applyFill="1" applyBorder="1" applyAlignment="1">
      <alignment horizontal="right" vertical="center"/>
    </xf>
    <xf numFmtId="6" fontId="4" fillId="4" borderId="3" xfId="0" applyNumberFormat="1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left" vertical="center" shrinkToFit="1"/>
    </xf>
    <xf numFmtId="0" fontId="4" fillId="3" borderId="13" xfId="0" applyFont="1" applyFill="1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4" fillId="3" borderId="15" xfId="0" applyFont="1" applyFill="1" applyBorder="1" applyAlignment="1">
      <alignment horizontal="left" vertical="center" shrinkToFit="1"/>
    </xf>
    <xf numFmtId="0" fontId="4" fillId="3" borderId="9" xfId="0" applyFont="1" applyFill="1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6" fontId="4" fillId="4" borderId="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4" fillId="3" borderId="0" xfId="0" applyFont="1" applyFill="1" applyBorder="1" applyAlignment="1">
      <alignment horizontal="left" vertical="center" shrinkToFit="1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 shrinkToFit="1"/>
    </xf>
    <xf numFmtId="0" fontId="4" fillId="3" borderId="11" xfId="0" applyFont="1" applyFill="1" applyBorder="1" applyAlignment="1">
      <alignment horizontal="left" vertical="center" shrinkToFi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2">
    <cellStyle name="Normal" xfId="0" builtinId="0" customBuiltin="1"/>
    <cellStyle name="Percent" xfId="1" builtinId="5"/>
  </cellStyles>
  <dxfs count="16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color indexed="63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minor"/>
      </font>
      <numFmt numFmtId="166" formatCode="\$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minor"/>
      </font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minor"/>
      </font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name val="Calibri"/>
        <scheme val="minor"/>
      </font>
    </dxf>
    <dxf>
      <font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3" formatCode="0%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3" formatCode="0%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3" formatCode="0%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3" formatCode="0%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29:F40" totalsRowCount="1" headerRowDxfId="167" dataDxfId="166" totalsRowDxfId="164" tableBorderDxfId="165">
  <autoFilter ref="B29:F39" xr:uid="{00000000-0009-0000-0100-000001000000}"/>
  <tableColumns count="5">
    <tableColumn id="1" xr3:uid="{00000000-0010-0000-0000-000001000000}" name="HOUSING" totalsRowLabel="Total" dataDxfId="163" totalsRowDxfId="162"/>
    <tableColumn id="2" xr3:uid="{00000000-0010-0000-0000-000002000000}" name="Projected Cost" totalsRowFunction="sum" dataDxfId="161" totalsRowDxfId="160"/>
    <tableColumn id="6" xr3:uid="{00000000-0010-0000-0000-000006000000}" name="% of Income" totalsRowFunction="sum" dataDxfId="159" totalsRowDxfId="158" dataCellStyle="Percent">
      <calculatedColumnFormula>Table1[[#This Row],[Projected Cost]]/$F$6</calculatedColumnFormula>
    </tableColumn>
    <tableColumn id="3" xr3:uid="{00000000-0010-0000-0000-000003000000}" name="Actual Cost" totalsRowFunction="sum" dataDxfId="157" totalsRowDxfId="156"/>
    <tableColumn id="4" xr3:uid="{00000000-0010-0000-0000-000004000000}" name="Difference" totalsRowFunction="sum" dataDxfId="155" totalsRowDxfId="154">
      <calculatedColumnFormula>Table1[Projected Cost]-Table1[Actual Cost]</calculatedColumnFormula>
    </tableColumn>
  </tableColumns>
  <tableStyleInfo name="TableStyleMedium23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09000000}" name="Table122253" displayName="Table122253" ref="H45:L49" totalsRowCount="1" headerRowDxfId="41" dataDxfId="40" totalsRowDxfId="38" tableBorderDxfId="39">
  <autoFilter ref="H45:L48" xr:uid="{00000000-0009-0000-0100-000034000000}"/>
  <tableColumns count="5">
    <tableColumn id="1" xr3:uid="{00000000-0010-0000-0900-000001000000}" name="LEGAL" totalsRowLabel="Total" dataDxfId="37" totalsRowDxfId="36"/>
    <tableColumn id="2" xr3:uid="{00000000-0010-0000-0900-000002000000}" name="Projected Cost" totalsRowFunction="sum" dataDxfId="35" totalsRowDxfId="34"/>
    <tableColumn id="5" xr3:uid="{00000000-0010-0000-0900-000005000000}" name="% of Income" totalsRowFunction="sum" dataDxfId="33" totalsRowDxfId="32" dataCellStyle="Percent">
      <calculatedColumnFormula>Table122253[[#This Row],[Projected Cost]]/$F$6</calculatedColumnFormula>
    </tableColumn>
    <tableColumn id="3" xr3:uid="{00000000-0010-0000-0900-000003000000}" name="Actual Cost" totalsRowFunction="sum" dataDxfId="31" totalsRowDxfId="30"/>
    <tableColumn id="4" xr3:uid="{00000000-0010-0000-0900-000004000000}" name="Difference" totalsRowFunction="sum" dataDxfId="29" totalsRowDxfId="28">
      <calculatedColumnFormula>Table122253[Projected Cost]-Table122253[Actual Cost]</calculatedColumnFormula>
    </tableColumn>
  </tableColumns>
  <tableStyleInfo name="TableStyleMedium23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0A000000}" name="Table2215255" displayName="Table2215255" ref="H38:L43" totalsRowCount="1" headerRowDxfId="27" dataDxfId="26" totalsRowDxfId="24" tableBorderDxfId="25">
  <autoFilter ref="H38:L42" xr:uid="{00000000-0009-0000-0100-000036000000}"/>
  <tableColumns count="5">
    <tableColumn id="1" xr3:uid="{00000000-0010-0000-0A00-000001000000}" name="ENTERTAINMENT" totalsRowLabel="Total" dataDxfId="23" totalsRowDxfId="22"/>
    <tableColumn id="2" xr3:uid="{00000000-0010-0000-0A00-000002000000}" name="Projected Cost" totalsRowFunction="sum" dataDxfId="21" totalsRowDxfId="20"/>
    <tableColumn id="5" xr3:uid="{00000000-0010-0000-0A00-000005000000}" name="% of Income" totalsRowFunction="sum" dataDxfId="19" totalsRowDxfId="18" dataCellStyle="Percent">
      <calculatedColumnFormula>Table2215255[[#This Row],[Projected Cost]]/$F$6</calculatedColumnFormula>
    </tableColumn>
    <tableColumn id="3" xr3:uid="{00000000-0010-0000-0A00-000003000000}" name="Actual Cost" totalsRowFunction="sum" dataDxfId="17" totalsRowDxfId="16"/>
    <tableColumn id="4" xr3:uid="{00000000-0010-0000-0A00-000004000000}" name="Difference" totalsRowFunction="sum" dataDxfId="15" totalsRowDxfId="14">
      <calculatedColumnFormula>Table2215255[Projected Cost]-Table2215255[Actual Cost]</calculatedColumnFormula>
    </tableColumn>
  </tableColumns>
  <tableStyleInfo name="TableStyleMedium23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0B000000}" name="Table115859" displayName="Table115859" ref="B51:F56" totalsRowCount="1" headerRowDxfId="13" dataDxfId="12" totalsRowDxfId="10" tableBorderDxfId="11">
  <autoFilter ref="B51:F55" xr:uid="{00000000-0009-0000-0100-00003A000000}"/>
  <tableColumns count="5">
    <tableColumn id="1" xr3:uid="{00000000-0010-0000-0B00-000001000000}" name="OTHER DONATIONS" totalsRowLabel="Total" dataDxfId="9" totalsRowDxfId="8"/>
    <tableColumn id="2" xr3:uid="{00000000-0010-0000-0B00-000002000000}" name="Projected Cost" totalsRowFunction="sum" dataDxfId="7" totalsRowDxfId="6"/>
    <tableColumn id="5" xr3:uid="{00000000-0010-0000-0B00-000005000000}" name="% of Income" totalsRowFunction="sum" dataDxfId="5" totalsRowDxfId="4" dataCellStyle="Percent">
      <calculatedColumnFormula>Table115859[[#This Row],[Projected Cost]]/$F$6</calculatedColumnFormula>
    </tableColumn>
    <tableColumn id="3" xr3:uid="{00000000-0010-0000-0B00-000003000000}" name="Actual Cost" totalsRowFunction="sum" dataDxfId="3" totalsRowDxfId="2"/>
    <tableColumn id="4" xr3:uid="{00000000-0010-0000-0B00-000004000000}" name="Difference" totalsRowFunction="sum" dataDxfId="1" totalsRowDxfId="0">
      <calculatedColumnFormula>Table115859[Projected Cost]-Table115859[Actual Cost]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B42:F49" totalsRowCount="1" headerRowDxfId="153" dataDxfId="152" totalsRowDxfId="150" tableBorderDxfId="151">
  <autoFilter ref="B42:F48" xr:uid="{00000000-0009-0000-0100-000003000000}"/>
  <tableColumns count="5">
    <tableColumn id="1" xr3:uid="{00000000-0010-0000-0100-000001000000}" name="TRANSPORTATION" totalsRowLabel="Total" dataDxfId="149" totalsRowDxfId="148"/>
    <tableColumn id="2" xr3:uid="{00000000-0010-0000-0100-000002000000}" name="Projected Cost" totalsRowFunction="sum" dataDxfId="147" totalsRowDxfId="146"/>
    <tableColumn id="5" xr3:uid="{00000000-0010-0000-0100-000005000000}" name="% of Income" totalsRowFunction="sum" dataDxfId="145" totalsRowDxfId="144" dataCellStyle="Percent">
      <calculatedColumnFormula>Table3[[#This Row],[Projected Cost]]/$F$6</calculatedColumnFormula>
    </tableColumn>
    <tableColumn id="3" xr3:uid="{00000000-0010-0000-0100-000003000000}" name="Actual Cost" totalsRowFunction="sum" dataDxfId="143" totalsRowDxfId="142"/>
    <tableColumn id="4" xr3:uid="{00000000-0010-0000-0100-000004000000}" name="Difference" totalsRowFunction="sum" dataDxfId="141" totalsRowDxfId="140">
      <calculatedColumnFormula>Table3[Projected Cost]-Table3[Actual Cost]</calculatedColumnFormula>
    </tableColumn>
  </tableColumns>
  <tableStyleInfo name="TableStyleMedium2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2000000}" name="Table1116" displayName="Table1116" ref="B11:F16" totalsRowCount="1" headerRowDxfId="139" dataDxfId="138" totalsRowDxfId="136" tableBorderDxfId="137">
  <autoFilter ref="B11:F15" xr:uid="{00000000-0009-0000-0100-00000F000000}"/>
  <tableColumns count="5">
    <tableColumn id="1" xr3:uid="{00000000-0010-0000-0200-000001000000}" name="TITHES AND OFFERINGS" totalsRowLabel="Total" dataDxfId="135" totalsRowDxfId="134"/>
    <tableColumn id="2" xr3:uid="{00000000-0010-0000-0200-000002000000}" name="Projected Cost" totalsRowFunction="sum" dataDxfId="133" totalsRowDxfId="132"/>
    <tableColumn id="5" xr3:uid="{00000000-0010-0000-0200-000005000000}" name="% of Income" totalsRowFunction="sum" dataDxfId="131" totalsRowDxfId="130" dataCellStyle="Percent">
      <calculatedColumnFormula>Table1116[[#This Row],[Projected Cost]]/$F$6</calculatedColumnFormula>
    </tableColumn>
    <tableColumn id="3" xr3:uid="{00000000-0010-0000-0200-000003000000}" name="Actual Cost" totalsRowFunction="sum" dataDxfId="129" totalsRowDxfId="128"/>
    <tableColumn id="4" xr3:uid="{00000000-0010-0000-0200-000004000000}" name="Difference" totalsRowFunction="sum" dataDxfId="127" totalsRowDxfId="126">
      <calculatedColumnFormula>Table1116[Projected Cost]-Table1116[Actual Cost]</calculatedColumnFormula>
    </tableColumn>
  </tableColumns>
  <tableStyleInfo name="TableStyleMedium2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3000000}" name="Table917" displayName="Table917" ref="B18:F21" totalsRowCount="1" headerRowDxfId="125" dataDxfId="124" totalsRowDxfId="122" tableBorderDxfId="123">
  <autoFilter ref="B18:F20" xr:uid="{00000000-0009-0000-0100-000010000000}"/>
  <tableColumns count="5">
    <tableColumn id="1" xr3:uid="{00000000-0010-0000-0300-000001000000}" name="TAXES" totalsRowLabel="Total" dataDxfId="121" totalsRowDxfId="120"/>
    <tableColumn id="2" xr3:uid="{00000000-0010-0000-0300-000002000000}" name="Projected Cost" totalsRowFunction="sum" dataDxfId="119" totalsRowDxfId="118"/>
    <tableColumn id="5" xr3:uid="{00000000-0010-0000-0300-000005000000}" name="% of Income" totalsRowFunction="sum" dataDxfId="117" totalsRowDxfId="116" dataCellStyle="Percent">
      <calculatedColumnFormula>Table917[[#This Row],[Projected Cost]]/$F$6</calculatedColumnFormula>
    </tableColumn>
    <tableColumn id="3" xr3:uid="{00000000-0010-0000-0300-000003000000}" name="Actual Cost" totalsRowFunction="sum" dataDxfId="115" totalsRowDxfId="114"/>
    <tableColumn id="4" xr3:uid="{00000000-0010-0000-0300-000004000000}" name="Difference" totalsRowFunction="sum" dataDxfId="113" totalsRowDxfId="112">
      <calculatedColumnFormula>Table917[Projected Cost]-Table917[Actual Cost]</calculatedColumnFormula>
    </tableColumn>
  </tableColumns>
  <tableStyleInfo name="TableStyleMedium2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4000000}" name="Table1018" displayName="Table1018" ref="B23:F27" totalsRowCount="1" headerRowDxfId="111" dataDxfId="110" totalsRowDxfId="108" tableBorderDxfId="109">
  <autoFilter ref="B23:F26" xr:uid="{00000000-0009-0000-0100-000011000000}"/>
  <tableColumns count="5">
    <tableColumn id="1" xr3:uid="{00000000-0010-0000-0400-000001000000}" name="SAVINGS OR INVESTMENTS" totalsRowLabel="Total" dataDxfId="107" totalsRowDxfId="106"/>
    <tableColumn id="2" xr3:uid="{00000000-0010-0000-0400-000002000000}" name="Projected Cost" totalsRowFunction="sum" dataDxfId="105" totalsRowDxfId="104"/>
    <tableColumn id="5" xr3:uid="{00000000-0010-0000-0400-000005000000}" name="% of Income" totalsRowFunction="sum" dataDxfId="103" totalsRowDxfId="102" dataCellStyle="Percent">
      <calculatedColumnFormula>Table1018[[#This Row],[Projected Cost]]/$F$6</calculatedColumnFormula>
    </tableColumn>
    <tableColumn id="3" xr3:uid="{00000000-0010-0000-0400-000003000000}" name="Actual Cost" totalsRowFunction="sum" dataDxfId="101" totalsRowDxfId="100"/>
    <tableColumn id="4" xr3:uid="{00000000-0010-0000-0400-000004000000}" name="Difference" totalsRowFunction="sum" dataDxfId="99" totalsRowDxfId="98">
      <calculatedColumnFormula>Table1018[Projected Cost]-Table1018[Actual Cost]</calculatedColumnFormula>
    </tableColumn>
  </tableColumns>
  <tableStyleInfo name="TableStyleMedium2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05000000}" name="Table448" displayName="Table448" ref="H11:L16" totalsRowCount="1" headerRowDxfId="97" dataDxfId="96" totalsRowDxfId="94" tableBorderDxfId="95">
  <autoFilter ref="H11:L15" xr:uid="{00000000-0009-0000-0100-00002F000000}"/>
  <tableColumns count="5">
    <tableColumn id="1" xr3:uid="{00000000-0010-0000-0500-000001000000}" name="INSURANCE" totalsRowLabel="Total" dataDxfId="93" totalsRowDxfId="92"/>
    <tableColumn id="2" xr3:uid="{00000000-0010-0000-0500-000002000000}" name="Projected Cost" totalsRowFunction="sum" dataDxfId="91" totalsRowDxfId="90"/>
    <tableColumn id="5" xr3:uid="{00000000-0010-0000-0500-000005000000}" name="% of Income" totalsRowFunction="sum" dataDxfId="89" totalsRowDxfId="88" dataCellStyle="Percent">
      <calculatedColumnFormula>Table448[[#This Row],[Projected Cost]]/$F$6</calculatedColumnFormula>
    </tableColumn>
    <tableColumn id="3" xr3:uid="{00000000-0010-0000-0500-000003000000}" name="Actual Cost" totalsRowFunction="sum" dataDxfId="87" totalsRowDxfId="86"/>
    <tableColumn id="4" xr3:uid="{00000000-0010-0000-0500-000004000000}" name="Difference" totalsRowFunction="sum" dataDxfId="85" totalsRowDxfId="84">
      <calculatedColumnFormula>Table448[Projected Cost]-Table448[Actual Cost]</calculatedColumnFormula>
    </tableColumn>
  </tableColumns>
  <tableStyleInfo name="TableStyleMedium23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06000000}" name="Table549" displayName="Table549" ref="H18:L22" totalsRowCount="1" headerRowDxfId="83" dataDxfId="82" totalsRowDxfId="80" tableBorderDxfId="81">
  <autoFilter ref="H18:L21" xr:uid="{00000000-0009-0000-0100-000030000000}"/>
  <tableColumns count="5">
    <tableColumn id="1" xr3:uid="{00000000-0010-0000-0600-000001000000}" name="FOOD" totalsRowLabel="Total" dataDxfId="79" totalsRowDxfId="78"/>
    <tableColumn id="2" xr3:uid="{00000000-0010-0000-0600-000002000000}" name="Projected Cost" totalsRowFunction="sum" dataDxfId="77" totalsRowDxfId="76"/>
    <tableColumn id="5" xr3:uid="{00000000-0010-0000-0600-000005000000}" name="% of Income" totalsRowFunction="sum" dataDxfId="75" totalsRowDxfId="74" dataCellStyle="Percent">
      <calculatedColumnFormula>Table549[[#This Row],[Projected Cost]]/$F$6</calculatedColumnFormula>
    </tableColumn>
    <tableColumn id="3" xr3:uid="{00000000-0010-0000-0600-000003000000}" name="Actual Cost" totalsRowFunction="sum" dataDxfId="73" totalsRowDxfId="72"/>
    <tableColumn id="4" xr3:uid="{00000000-0010-0000-0600-000004000000}" name="Difference" totalsRowFunction="sum" dataDxfId="71" totalsRowDxfId="70">
      <calculatedColumnFormula>Table549[Projected Cost]-Table549[Actual Cost]</calculatedColumnFormula>
    </tableColumn>
  </tableColumns>
  <tableStyleInfo name="TableStyleMedium23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07000000}" name="Table750" displayName="Table750" ref="H31:L36" totalsRowCount="1" headerRowDxfId="69" dataDxfId="68" totalsRowDxfId="66" tableBorderDxfId="67">
  <autoFilter ref="H31:L35" xr:uid="{00000000-0009-0000-0100-000031000000}"/>
  <tableColumns count="5">
    <tableColumn id="1" xr3:uid="{00000000-0010-0000-0700-000001000000}" name="PERSONAL CARE" totalsRowLabel="Total" dataDxfId="65" totalsRowDxfId="64"/>
    <tableColumn id="2" xr3:uid="{00000000-0010-0000-0700-000002000000}" name="Projected Cost" totalsRowFunction="sum" dataDxfId="63" totalsRowDxfId="62"/>
    <tableColumn id="5" xr3:uid="{00000000-0010-0000-0700-000005000000}" name="% of Income" totalsRowFunction="sum" dataDxfId="61" totalsRowDxfId="60" dataCellStyle="Percent">
      <calculatedColumnFormula>Table750[[#This Row],[Projected Cost]]/$F$6</calculatedColumnFormula>
    </tableColumn>
    <tableColumn id="3" xr3:uid="{00000000-0010-0000-0700-000003000000}" name="Actual Cost" totalsRowFunction="sum" dataDxfId="59" totalsRowDxfId="58"/>
    <tableColumn id="4" xr3:uid="{00000000-0010-0000-0700-000004000000}" name="Difference" totalsRowFunction="sum" dataDxfId="57" totalsRowDxfId="56">
      <calculatedColumnFormula>Table750[Projected Cost]-Table750[Actual Cost]</calculatedColumnFormula>
    </tableColumn>
  </tableColumns>
  <tableStyleInfo name="TableStyleMedium23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08000000}" name="Table81951" displayName="Table81951" ref="H24:L29" totalsRowCount="1" headerRowDxfId="55" dataDxfId="54" totalsRowDxfId="52" tableBorderDxfId="53">
  <autoFilter ref="H24:L28" xr:uid="{00000000-0009-0000-0100-000032000000}"/>
  <tableColumns count="5">
    <tableColumn id="1" xr3:uid="{00000000-0010-0000-0800-000001000000}" name="LOANS" totalsRowLabel="Total" dataDxfId="51" totalsRowDxfId="50"/>
    <tableColumn id="2" xr3:uid="{00000000-0010-0000-0800-000002000000}" name="Projected Cost" totalsRowFunction="sum" dataDxfId="49" totalsRowDxfId="48"/>
    <tableColumn id="5" xr3:uid="{00000000-0010-0000-0800-000005000000}" name="% of Income" totalsRowFunction="sum" dataDxfId="47" totalsRowDxfId="46" dataCellStyle="Percent">
      <calculatedColumnFormula>Table81951[[#This Row],[Projected Cost]]/$F$6</calculatedColumnFormula>
    </tableColumn>
    <tableColumn id="3" xr3:uid="{00000000-0010-0000-0800-000003000000}" name="Actual Cost" totalsRowFunction="sum" dataDxfId="45" totalsRowDxfId="44"/>
    <tableColumn id="4" xr3:uid="{00000000-0010-0000-0800-000004000000}" name="Difference" totalsRowFunction="sum" dataDxfId="43" totalsRowDxfId="42">
      <calculatedColumnFormula>Table81951[Projected Cost]-Table81951[Actual Cost]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N62"/>
  <sheetViews>
    <sheetView showGridLines="0" tabSelected="1" workbookViewId="0">
      <selection activeCell="C13" sqref="C13"/>
    </sheetView>
  </sheetViews>
  <sheetFormatPr defaultRowHeight="13" x14ac:dyDescent="0.3"/>
  <cols>
    <col min="1" max="1" width="1.69921875" customWidth="1"/>
    <col min="2" max="2" width="24.09765625" customWidth="1"/>
    <col min="3" max="3" width="15.3984375" customWidth="1"/>
    <col min="4" max="4" width="13.3984375" customWidth="1"/>
    <col min="5" max="5" width="12.59765625" customWidth="1"/>
    <col min="6" max="6" width="13.09765625" customWidth="1"/>
    <col min="7" max="7" width="3.69921875" customWidth="1"/>
    <col min="8" max="8" width="24" customWidth="1"/>
    <col min="9" max="9" width="15.296875" customWidth="1"/>
    <col min="10" max="10" width="13.3984375" customWidth="1"/>
    <col min="11" max="11" width="12.59765625" customWidth="1"/>
    <col min="12" max="12" width="13" customWidth="1"/>
  </cols>
  <sheetData>
    <row r="1" spans="1:13" ht="8.15" customHeight="1" x14ac:dyDescent="0.85">
      <c r="A1" s="3"/>
      <c r="B1" s="1"/>
      <c r="C1" s="1"/>
      <c r="D1" s="1"/>
      <c r="E1" s="1"/>
      <c r="F1" s="1"/>
      <c r="G1" s="1"/>
      <c r="H1" s="1"/>
      <c r="I1" s="1"/>
      <c r="J1" s="2"/>
    </row>
    <row r="2" spans="1:13" ht="52" customHeight="1" x14ac:dyDescent="0.3">
      <c r="A2" s="3"/>
      <c r="B2" s="58" t="s">
        <v>31</v>
      </c>
      <c r="C2" s="58"/>
      <c r="D2" s="58"/>
      <c r="E2" s="58"/>
      <c r="F2" s="58"/>
      <c r="G2" s="58"/>
      <c r="H2" s="58"/>
      <c r="I2" s="58"/>
      <c r="J2" s="58"/>
    </row>
    <row r="3" spans="1:13" ht="8.15" customHeight="1" x14ac:dyDescent="0.3">
      <c r="A3" s="2"/>
      <c r="B3" s="61"/>
      <c r="C3" s="61"/>
      <c r="D3" s="61"/>
      <c r="E3" s="4"/>
      <c r="F3" s="5"/>
      <c r="G3" s="4"/>
      <c r="H3" s="6"/>
      <c r="I3" s="7"/>
      <c r="J3" s="8"/>
    </row>
    <row r="4" spans="1:13" ht="16" customHeight="1" x14ac:dyDescent="0.3">
      <c r="A4" s="2"/>
      <c r="B4" s="47" t="s">
        <v>50</v>
      </c>
      <c r="C4" s="48"/>
      <c r="D4" s="56" t="s">
        <v>3</v>
      </c>
      <c r="E4" s="57"/>
      <c r="F4" s="14">
        <v>3500</v>
      </c>
      <c r="H4" s="39" t="s">
        <v>55</v>
      </c>
      <c r="I4" s="40"/>
      <c r="J4" s="40"/>
      <c r="K4" s="41"/>
      <c r="L4" s="45">
        <f>F6-L51</f>
        <v>65</v>
      </c>
    </row>
    <row r="5" spans="1:13" ht="16" customHeight="1" x14ac:dyDescent="0.3">
      <c r="A5" s="2"/>
      <c r="B5" s="49"/>
      <c r="C5" s="48"/>
      <c r="D5" s="56" t="s">
        <v>64</v>
      </c>
      <c r="E5" s="57"/>
      <c r="F5" s="14">
        <v>2000</v>
      </c>
      <c r="H5" s="42"/>
      <c r="I5" s="43"/>
      <c r="J5" s="43"/>
      <c r="K5" s="44"/>
      <c r="L5" s="45"/>
    </row>
    <row r="6" spans="1:13" ht="16" customHeight="1" x14ac:dyDescent="0.3">
      <c r="A6" s="2"/>
      <c r="B6" s="49"/>
      <c r="C6" s="48"/>
      <c r="D6" s="59" t="s">
        <v>32</v>
      </c>
      <c r="E6" s="60"/>
      <c r="F6" s="13">
        <f>SUM(F4:F5)</f>
        <v>5500</v>
      </c>
      <c r="H6" s="39" t="s">
        <v>56</v>
      </c>
      <c r="I6" s="40"/>
      <c r="J6" s="40"/>
      <c r="K6" s="41"/>
      <c r="L6" s="45">
        <f>F9-L53</f>
        <v>-50</v>
      </c>
    </row>
    <row r="7" spans="1:13" ht="16" customHeight="1" x14ac:dyDescent="0.3">
      <c r="A7" s="2"/>
      <c r="B7" s="39" t="s">
        <v>49</v>
      </c>
      <c r="C7" s="50"/>
      <c r="D7" s="56" t="s">
        <v>3</v>
      </c>
      <c r="E7" s="57"/>
      <c r="F7" s="14">
        <v>3500</v>
      </c>
      <c r="H7" s="42"/>
      <c r="I7" s="43"/>
      <c r="J7" s="43"/>
      <c r="K7" s="44"/>
      <c r="L7" s="45"/>
    </row>
    <row r="8" spans="1:13" ht="16" customHeight="1" x14ac:dyDescent="0.3">
      <c r="A8" s="2"/>
      <c r="B8" s="51"/>
      <c r="C8" s="48"/>
      <c r="D8" s="56" t="s">
        <v>64</v>
      </c>
      <c r="E8" s="57"/>
      <c r="F8" s="14">
        <v>2000</v>
      </c>
      <c r="H8" s="39" t="s">
        <v>57</v>
      </c>
      <c r="I8" s="40"/>
      <c r="J8" s="40"/>
      <c r="K8" s="41"/>
      <c r="L8" s="45">
        <f>L6-L4</f>
        <v>-115</v>
      </c>
    </row>
    <row r="9" spans="1:13" ht="16" customHeight="1" x14ac:dyDescent="0.3">
      <c r="A9" s="2"/>
      <c r="B9" s="52"/>
      <c r="C9" s="53"/>
      <c r="D9" s="59" t="s">
        <v>32</v>
      </c>
      <c r="E9" s="60"/>
      <c r="F9" s="13">
        <f>SUM(F7:F8)</f>
        <v>5500</v>
      </c>
      <c r="H9" s="42"/>
      <c r="I9" s="43"/>
      <c r="J9" s="43"/>
      <c r="K9" s="44"/>
      <c r="L9" s="45"/>
    </row>
    <row r="10" spans="1:13" ht="16" customHeight="1" x14ac:dyDescent="0.3">
      <c r="A10" s="2"/>
      <c r="B10" s="9"/>
      <c r="C10" s="9"/>
      <c r="D10" s="10"/>
      <c r="E10" s="11"/>
      <c r="F10" s="11"/>
    </row>
    <row r="11" spans="1:13" ht="16" customHeight="1" x14ac:dyDescent="0.3">
      <c r="A11" s="2"/>
      <c r="B11" s="15" t="s">
        <v>59</v>
      </c>
      <c r="C11" s="16" t="s">
        <v>0</v>
      </c>
      <c r="D11" s="16" t="s">
        <v>58</v>
      </c>
      <c r="E11" s="16" t="s">
        <v>1</v>
      </c>
      <c r="F11" s="17" t="s">
        <v>2</v>
      </c>
      <c r="H11" s="15" t="s">
        <v>44</v>
      </c>
      <c r="I11" s="16" t="s">
        <v>0</v>
      </c>
      <c r="J11" s="16" t="s">
        <v>58</v>
      </c>
      <c r="K11" s="16" t="s">
        <v>1</v>
      </c>
      <c r="L11" s="17" t="s">
        <v>2</v>
      </c>
    </row>
    <row r="12" spans="1:13" ht="16" customHeight="1" x14ac:dyDescent="0.3">
      <c r="A12" s="2"/>
      <c r="B12" s="22" t="s">
        <v>60</v>
      </c>
      <c r="C12" s="18">
        <v>550</v>
      </c>
      <c r="D12" s="30">
        <f>Table1116[[#This Row],[Projected Cost]]/$F$6</f>
        <v>0.1</v>
      </c>
      <c r="E12" s="18">
        <v>500</v>
      </c>
      <c r="F12" s="19">
        <f>Table1116[Projected Cost]-Table1116[Actual Cost]</f>
        <v>50</v>
      </c>
      <c r="H12" s="22" t="s">
        <v>16</v>
      </c>
      <c r="I12" s="18">
        <v>100</v>
      </c>
      <c r="J12" s="30">
        <f>Table448[[#This Row],[Projected Cost]]/$F$6</f>
        <v>1.8181818181818181E-2</v>
      </c>
      <c r="K12" s="18">
        <v>100</v>
      </c>
      <c r="L12" s="19">
        <f>Table448[Projected Cost]-Table448[Actual Cost]</f>
        <v>0</v>
      </c>
    </row>
    <row r="13" spans="1:13" ht="16" customHeight="1" x14ac:dyDescent="0.3">
      <c r="A13" s="2"/>
      <c r="B13" s="22" t="s">
        <v>61</v>
      </c>
      <c r="C13" s="18">
        <v>50</v>
      </c>
      <c r="D13" s="30">
        <f>Table1116[[#This Row],[Projected Cost]]/$F$6</f>
        <v>9.0909090909090905E-3</v>
      </c>
      <c r="E13" s="18">
        <v>50</v>
      </c>
      <c r="F13" s="19">
        <f>Table1116[Projected Cost]-Table1116[Actual Cost]</f>
        <v>0</v>
      </c>
      <c r="H13" s="22" t="s">
        <v>17</v>
      </c>
      <c r="I13" s="18">
        <v>50</v>
      </c>
      <c r="J13" s="30">
        <f>Table448[[#This Row],[Projected Cost]]/$F$6</f>
        <v>9.0909090909090905E-3</v>
      </c>
      <c r="K13" s="18">
        <v>50</v>
      </c>
      <c r="L13" s="19">
        <f>Table448[Projected Cost]-Table448[Actual Cost]</f>
        <v>0</v>
      </c>
    </row>
    <row r="14" spans="1:13" ht="16" customHeight="1" x14ac:dyDescent="0.3">
      <c r="A14" s="2"/>
      <c r="B14" s="22" t="s">
        <v>63</v>
      </c>
      <c r="C14" s="32">
        <v>50</v>
      </c>
      <c r="D14" s="30">
        <f>Table1116[[#This Row],[Projected Cost]]/$F$6</f>
        <v>9.0909090909090905E-3</v>
      </c>
      <c r="E14" s="32">
        <v>50</v>
      </c>
      <c r="F14" s="31">
        <f>Table1116[Projected Cost]-Table1116[Actual Cost]</f>
        <v>0</v>
      </c>
      <c r="G14" s="11"/>
      <c r="H14" s="22" t="s">
        <v>18</v>
      </c>
      <c r="I14" s="18">
        <v>10</v>
      </c>
      <c r="J14" s="30">
        <f>Table448[[#This Row],[Projected Cost]]/$F$6</f>
        <v>1.8181818181818182E-3</v>
      </c>
      <c r="K14" s="18">
        <v>10</v>
      </c>
      <c r="L14" s="19">
        <f>Table448[Projected Cost]-Table448[Actual Cost]</f>
        <v>0</v>
      </c>
      <c r="M14" s="12"/>
    </row>
    <row r="15" spans="1:13" ht="16" customHeight="1" x14ac:dyDescent="0.3">
      <c r="A15" s="2"/>
      <c r="B15" s="22" t="s">
        <v>62</v>
      </c>
      <c r="C15" s="18">
        <v>25</v>
      </c>
      <c r="D15" s="30">
        <f>Table1116[[#This Row],[Projected Cost]]/$F$6</f>
        <v>4.5454545454545452E-3</v>
      </c>
      <c r="E15" s="18">
        <v>25</v>
      </c>
      <c r="F15" s="19">
        <f>Table1116[Projected Cost]-Table1116[Actual Cost]</f>
        <v>0</v>
      </c>
      <c r="G15" s="11"/>
      <c r="H15" s="22" t="s">
        <v>12</v>
      </c>
      <c r="I15" s="18">
        <v>5</v>
      </c>
      <c r="J15" s="30">
        <f>Table448[[#This Row],[Projected Cost]]/$F$6</f>
        <v>9.0909090909090909E-4</v>
      </c>
      <c r="K15" s="18">
        <v>5</v>
      </c>
      <c r="L15" s="19">
        <f>Table448[Projected Cost]-Table448[Actual Cost]</f>
        <v>0</v>
      </c>
      <c r="M15" s="12"/>
    </row>
    <row r="16" spans="1:13" ht="16" customHeight="1" x14ac:dyDescent="0.3">
      <c r="A16" s="2"/>
      <c r="B16" s="15" t="s">
        <v>54</v>
      </c>
      <c r="C16" s="18">
        <f>SUBTOTAL(109,Table1116[Projected Cost])</f>
        <v>675</v>
      </c>
      <c r="D16" s="30">
        <f>SUBTOTAL(109,Table1116[% of Income])</f>
        <v>0.12272727272727274</v>
      </c>
      <c r="E16" s="18">
        <f>SUBTOTAL(109,Table1116[Actual Cost])</f>
        <v>625</v>
      </c>
      <c r="F16" s="21">
        <f>SUBTOTAL(109,Table1116[Difference])</f>
        <v>50</v>
      </c>
      <c r="G16" s="11"/>
      <c r="H16" s="15" t="s">
        <v>54</v>
      </c>
      <c r="I16" s="18">
        <f>SUBTOTAL(109,Table448[Projected Cost])</f>
        <v>165</v>
      </c>
      <c r="J16" s="34">
        <f>SUBTOTAL(109,Table448[% of Income])</f>
        <v>0.03</v>
      </c>
      <c r="K16" s="18">
        <f>SUBTOTAL(109,Table448[Actual Cost])</f>
        <v>165</v>
      </c>
      <c r="L16" s="21">
        <f>SUBTOTAL(109,Table448[Difference])</f>
        <v>0</v>
      </c>
      <c r="M16" s="12"/>
    </row>
    <row r="17" spans="1:13" ht="16" customHeight="1" x14ac:dyDescent="0.3">
      <c r="A17" s="2"/>
      <c r="B17" s="24"/>
      <c r="C17" s="24"/>
      <c r="D17" s="10"/>
      <c r="E17" s="11"/>
      <c r="F17" s="11"/>
      <c r="G17" s="11"/>
      <c r="H17" s="46"/>
      <c r="I17" s="46"/>
      <c r="J17" s="46"/>
      <c r="K17" s="46"/>
      <c r="L17" s="23"/>
      <c r="M17" s="12"/>
    </row>
    <row r="18" spans="1:13" ht="16" customHeight="1" x14ac:dyDescent="0.3">
      <c r="A18" s="2"/>
      <c r="B18" s="15" t="s">
        <v>43</v>
      </c>
      <c r="C18" s="16" t="s">
        <v>0</v>
      </c>
      <c r="D18" s="16" t="s">
        <v>58</v>
      </c>
      <c r="E18" s="16" t="s">
        <v>1</v>
      </c>
      <c r="F18" s="17" t="s">
        <v>2</v>
      </c>
      <c r="G18" s="11"/>
      <c r="H18" s="15" t="s">
        <v>45</v>
      </c>
      <c r="I18" s="16" t="s">
        <v>0</v>
      </c>
      <c r="J18" s="16" t="s">
        <v>58</v>
      </c>
      <c r="K18" s="16" t="s">
        <v>1</v>
      </c>
      <c r="L18" s="17" t="s">
        <v>2</v>
      </c>
    </row>
    <row r="19" spans="1:13" ht="16" customHeight="1" x14ac:dyDescent="0.3">
      <c r="A19" s="2"/>
      <c r="B19" s="22" t="s">
        <v>27</v>
      </c>
      <c r="C19" s="18">
        <v>500</v>
      </c>
      <c r="D19" s="30">
        <f>Table917[[#This Row],[Projected Cost]]/$F$6</f>
        <v>9.0909090909090912E-2</v>
      </c>
      <c r="E19" s="18">
        <v>500</v>
      </c>
      <c r="F19" s="19">
        <f>Table917[Projected Cost]-Table917[Actual Cost]</f>
        <v>0</v>
      </c>
      <c r="G19" s="11"/>
      <c r="H19" s="22" t="s">
        <v>19</v>
      </c>
      <c r="I19" s="18">
        <v>100</v>
      </c>
      <c r="J19" s="30">
        <f>Table549[[#This Row],[Projected Cost]]/$F$6</f>
        <v>1.8181818181818181E-2</v>
      </c>
      <c r="K19" s="18">
        <v>200</v>
      </c>
      <c r="L19" s="19">
        <f>Table549[Projected Cost]-Table549[Actual Cost]</f>
        <v>-100</v>
      </c>
      <c r="M19" s="12"/>
    </row>
    <row r="20" spans="1:13" ht="16" customHeight="1" x14ac:dyDescent="0.3">
      <c r="A20" s="2"/>
      <c r="B20" s="22" t="s">
        <v>28</v>
      </c>
      <c r="C20" s="18">
        <v>20</v>
      </c>
      <c r="D20" s="30">
        <f>Table917[[#This Row],[Projected Cost]]/$F$6</f>
        <v>3.6363636363636364E-3</v>
      </c>
      <c r="E20" s="18">
        <v>20</v>
      </c>
      <c r="F20" s="19">
        <f>Table917[Projected Cost]-Table917[Actual Cost]</f>
        <v>0</v>
      </c>
      <c r="G20" s="11"/>
      <c r="H20" s="22" t="s">
        <v>23</v>
      </c>
      <c r="I20" s="18">
        <v>100</v>
      </c>
      <c r="J20" s="30">
        <f>Table549[[#This Row],[Projected Cost]]/$F$6</f>
        <v>1.8181818181818181E-2</v>
      </c>
      <c r="K20" s="18">
        <v>200</v>
      </c>
      <c r="L20" s="19">
        <f>Table549[Projected Cost]-Table549[Actual Cost]</f>
        <v>-100</v>
      </c>
      <c r="M20" s="12"/>
    </row>
    <row r="21" spans="1:13" ht="16" customHeight="1" x14ac:dyDescent="0.3">
      <c r="A21" s="2"/>
      <c r="B21" s="15" t="s">
        <v>54</v>
      </c>
      <c r="C21" s="18">
        <f>SUBTOTAL(109,Table917[Projected Cost])</f>
        <v>520</v>
      </c>
      <c r="D21" s="34">
        <f>SUBTOTAL(109,Table917[% of Income])</f>
        <v>9.4545454545454544E-2</v>
      </c>
      <c r="E21" s="18">
        <f>SUBTOTAL(109,Table917[Actual Cost])</f>
        <v>520</v>
      </c>
      <c r="F21" s="21">
        <f>SUBTOTAL(109,Table917[Difference])</f>
        <v>0</v>
      </c>
      <c r="G21" s="11"/>
      <c r="H21" s="22" t="s">
        <v>12</v>
      </c>
      <c r="I21" s="18">
        <v>20</v>
      </c>
      <c r="J21" s="30">
        <f>Table549[[#This Row],[Projected Cost]]/$F$6</f>
        <v>3.6363636363636364E-3</v>
      </c>
      <c r="K21" s="18">
        <v>5</v>
      </c>
      <c r="L21" s="19">
        <f>Table549[Projected Cost]-Table549[Actual Cost]</f>
        <v>15</v>
      </c>
      <c r="M21" s="12"/>
    </row>
    <row r="22" spans="1:13" ht="16" customHeight="1" x14ac:dyDescent="0.3">
      <c r="A22" s="2"/>
      <c r="B22" s="25"/>
      <c r="C22" s="27"/>
      <c r="D22" s="27"/>
      <c r="E22" s="27"/>
      <c r="F22" s="11"/>
      <c r="G22" s="11"/>
      <c r="H22" s="15" t="s">
        <v>54</v>
      </c>
      <c r="I22" s="18">
        <f>SUBTOTAL(109,Table549[Projected Cost])</f>
        <v>220</v>
      </c>
      <c r="J22" s="34">
        <f>SUBTOTAL(109,Table549[% of Income])</f>
        <v>0.04</v>
      </c>
      <c r="K22" s="18">
        <f>SUBTOTAL(109,Table549[Actual Cost])</f>
        <v>405</v>
      </c>
      <c r="L22" s="21">
        <f>SUBTOTAL(109,Table549[Difference])</f>
        <v>-185</v>
      </c>
      <c r="M22" s="12"/>
    </row>
    <row r="23" spans="1:13" ht="16" customHeight="1" x14ac:dyDescent="0.3">
      <c r="A23" s="2"/>
      <c r="B23" s="15" t="s">
        <v>46</v>
      </c>
      <c r="C23" s="16" t="s">
        <v>0</v>
      </c>
      <c r="D23" s="16" t="s">
        <v>58</v>
      </c>
      <c r="E23" s="16" t="s">
        <v>1</v>
      </c>
      <c r="F23" s="17" t="s">
        <v>2</v>
      </c>
      <c r="G23" s="11"/>
      <c r="H23" s="46"/>
      <c r="I23" s="46"/>
      <c r="J23" s="46"/>
      <c r="K23" s="46"/>
      <c r="L23" s="23"/>
    </row>
    <row r="24" spans="1:13" ht="16" customHeight="1" x14ac:dyDescent="0.3">
      <c r="A24" s="2"/>
      <c r="B24" s="22" t="s">
        <v>37</v>
      </c>
      <c r="C24" s="18">
        <v>250</v>
      </c>
      <c r="D24" s="30">
        <f>Table1018[[#This Row],[Projected Cost]]/$F$6</f>
        <v>4.5454545454545456E-2</v>
      </c>
      <c r="E24" s="18">
        <v>250</v>
      </c>
      <c r="F24" s="19">
        <f>Table1018[Projected Cost]-Table1018[Actual Cost]</f>
        <v>0</v>
      </c>
      <c r="G24" s="11"/>
      <c r="H24" s="15" t="s">
        <v>41</v>
      </c>
      <c r="I24" s="16" t="s">
        <v>0</v>
      </c>
      <c r="J24" s="16" t="s">
        <v>58</v>
      </c>
      <c r="K24" s="16" t="s">
        <v>1</v>
      </c>
      <c r="L24" s="17" t="s">
        <v>2</v>
      </c>
    </row>
    <row r="25" spans="1:13" ht="16" customHeight="1" x14ac:dyDescent="0.3">
      <c r="A25" s="2"/>
      <c r="B25" s="22" t="s">
        <v>38</v>
      </c>
      <c r="C25" s="18">
        <v>50</v>
      </c>
      <c r="D25" s="30">
        <f>Table1018[[#This Row],[Projected Cost]]/$F$6</f>
        <v>9.0909090909090905E-3</v>
      </c>
      <c r="E25" s="18">
        <v>50</v>
      </c>
      <c r="F25" s="19">
        <f>Table1018[Projected Cost]-Table1018[Actual Cost]</f>
        <v>0</v>
      </c>
      <c r="G25" s="11"/>
      <c r="H25" s="22" t="s">
        <v>26</v>
      </c>
      <c r="I25" s="18">
        <v>100</v>
      </c>
      <c r="J25" s="30">
        <f>Table81951[[#This Row],[Projected Cost]]/$F$6</f>
        <v>1.8181818181818181E-2</v>
      </c>
      <c r="K25" s="18">
        <v>100</v>
      </c>
      <c r="L25" s="19">
        <f>Table81951[Projected Cost]-Table81951[Actual Cost]</f>
        <v>0</v>
      </c>
    </row>
    <row r="26" spans="1:13" ht="16" customHeight="1" x14ac:dyDescent="0.3">
      <c r="A26" s="2"/>
      <c r="B26" s="22" t="s">
        <v>12</v>
      </c>
      <c r="C26" s="18">
        <v>0</v>
      </c>
      <c r="D26" s="30">
        <f>Table1018[[#This Row],[Projected Cost]]/$F$6</f>
        <v>0</v>
      </c>
      <c r="E26" s="18">
        <v>0</v>
      </c>
      <c r="F26" s="19">
        <f>Table1018[Projected Cost]-Table1018[Actual Cost]</f>
        <v>0</v>
      </c>
      <c r="G26" s="11"/>
      <c r="H26" s="22" t="s">
        <v>30</v>
      </c>
      <c r="I26" s="18">
        <v>50</v>
      </c>
      <c r="J26" s="30">
        <f>Table81951[[#This Row],[Projected Cost]]/$F$6</f>
        <v>9.0909090909090905E-3</v>
      </c>
      <c r="K26" s="18">
        <v>50</v>
      </c>
      <c r="L26" s="19">
        <f>Table81951[Projected Cost]-Table81951[Actual Cost]</f>
        <v>0</v>
      </c>
    </row>
    <row r="27" spans="1:13" ht="16" customHeight="1" x14ac:dyDescent="0.3">
      <c r="A27" s="2"/>
      <c r="B27" s="15" t="s">
        <v>54</v>
      </c>
      <c r="C27" s="18">
        <f>SUBTOTAL(109,Table1018[Projected Cost])</f>
        <v>300</v>
      </c>
      <c r="D27" s="34">
        <f>SUBTOTAL(109,Table1018[% of Income])</f>
        <v>5.454545454545455E-2</v>
      </c>
      <c r="E27" s="18">
        <f>SUBTOTAL(109,Table1018[Actual Cost])</f>
        <v>300</v>
      </c>
      <c r="F27" s="21">
        <f>SUBTOTAL(109,Table1018[Difference])</f>
        <v>0</v>
      </c>
      <c r="G27" s="11"/>
      <c r="H27" s="22" t="s">
        <v>36</v>
      </c>
      <c r="I27" s="18">
        <v>50</v>
      </c>
      <c r="J27" s="30">
        <f>Table81951[[#This Row],[Projected Cost]]/$F$6</f>
        <v>9.0909090909090905E-3</v>
      </c>
      <c r="K27" s="18">
        <v>0</v>
      </c>
      <c r="L27" s="19">
        <f>Table81951[Projected Cost]-Table81951[Actual Cost]</f>
        <v>50</v>
      </c>
    </row>
    <row r="28" spans="1:13" ht="16" customHeight="1" x14ac:dyDescent="0.3">
      <c r="A28" s="2"/>
      <c r="B28" s="25"/>
      <c r="C28" s="27"/>
      <c r="D28" s="27"/>
      <c r="E28" s="27"/>
      <c r="F28" s="11"/>
      <c r="G28" s="11"/>
      <c r="H28" s="22" t="s">
        <v>12</v>
      </c>
      <c r="I28" s="18">
        <v>0</v>
      </c>
      <c r="J28" s="30">
        <f>Table81951[[#This Row],[Projected Cost]]/$F$6</f>
        <v>0</v>
      </c>
      <c r="K28" s="18">
        <v>0</v>
      </c>
      <c r="L28" s="19">
        <f>Table81951[Projected Cost]-Table81951[Actual Cost]</f>
        <v>0</v>
      </c>
    </row>
    <row r="29" spans="1:13" ht="16" customHeight="1" x14ac:dyDescent="0.3">
      <c r="A29" s="2"/>
      <c r="B29" s="15" t="s">
        <v>39</v>
      </c>
      <c r="C29" s="16" t="s">
        <v>0</v>
      </c>
      <c r="D29" s="16" t="s">
        <v>58</v>
      </c>
      <c r="E29" s="16" t="s">
        <v>1</v>
      </c>
      <c r="F29" s="17" t="s">
        <v>2</v>
      </c>
      <c r="G29" s="11"/>
      <c r="H29" s="15" t="s">
        <v>54</v>
      </c>
      <c r="I29" s="18">
        <f>SUBTOTAL(109,Table81951[Projected Cost])</f>
        <v>200</v>
      </c>
      <c r="J29" s="30">
        <f>SUBTOTAL(109,Table81951[% of Income])</f>
        <v>3.6363636363636362E-2</v>
      </c>
      <c r="K29" s="18">
        <f>SUBTOTAL(109,Table81951[Actual Cost])</f>
        <v>150</v>
      </c>
      <c r="L29" s="21">
        <f>SUBTOTAL(109,Table81951[Difference])</f>
        <v>50</v>
      </c>
    </row>
    <row r="30" spans="1:13" ht="16" customHeight="1" x14ac:dyDescent="0.3">
      <c r="A30" s="2"/>
      <c r="B30" s="22" t="s">
        <v>4</v>
      </c>
      <c r="C30" s="18">
        <v>1500</v>
      </c>
      <c r="D30" s="30">
        <f>Table1[[#This Row],[Projected Cost]]/$F$6</f>
        <v>0.27272727272727271</v>
      </c>
      <c r="E30" s="18">
        <v>1500</v>
      </c>
      <c r="F30" s="19">
        <f>Table1[Projected Cost]-Table1[Actual Cost]</f>
        <v>0</v>
      </c>
      <c r="G30" s="25"/>
      <c r="H30" s="23"/>
      <c r="I30" s="23"/>
      <c r="J30" s="23"/>
      <c r="K30" s="23"/>
      <c r="L30" s="23"/>
    </row>
    <row r="31" spans="1:13" ht="15.75" customHeight="1" x14ac:dyDescent="0.3">
      <c r="A31" s="2"/>
      <c r="B31" s="22" t="s">
        <v>5</v>
      </c>
      <c r="C31" s="18">
        <v>60</v>
      </c>
      <c r="D31" s="30">
        <f>Table1[[#This Row],[Projected Cost]]/$F$6</f>
        <v>1.090909090909091E-2</v>
      </c>
      <c r="E31" s="18">
        <v>100</v>
      </c>
      <c r="F31" s="19">
        <f>Table1[Projected Cost]-Table1[Actual Cost]</f>
        <v>-40</v>
      </c>
      <c r="G31" s="26"/>
      <c r="H31" s="15" t="s">
        <v>48</v>
      </c>
      <c r="I31" s="16" t="s">
        <v>0</v>
      </c>
      <c r="J31" s="16" t="s">
        <v>58</v>
      </c>
      <c r="K31" s="16" t="s">
        <v>1</v>
      </c>
      <c r="L31" s="17" t="s">
        <v>2</v>
      </c>
    </row>
    <row r="32" spans="1:13" ht="15.75" customHeight="1" x14ac:dyDescent="0.3">
      <c r="A32" s="2"/>
      <c r="B32" s="22" t="s">
        <v>33</v>
      </c>
      <c r="C32" s="18">
        <v>50</v>
      </c>
      <c r="D32" s="30">
        <f>Table1[[#This Row],[Projected Cost]]/$F$6</f>
        <v>9.0909090909090905E-3</v>
      </c>
      <c r="E32" s="18">
        <v>60</v>
      </c>
      <c r="F32" s="19">
        <f>Table1[Projected Cost]-Table1[Actual Cost]</f>
        <v>-10</v>
      </c>
      <c r="G32" s="26"/>
      <c r="H32" s="22" t="s">
        <v>20</v>
      </c>
      <c r="I32" s="18">
        <v>100</v>
      </c>
      <c r="J32" s="30">
        <f>Table750[[#This Row],[Projected Cost]]/$F$6</f>
        <v>1.8181818181818181E-2</v>
      </c>
      <c r="K32" s="18">
        <v>50</v>
      </c>
      <c r="L32" s="19">
        <f>Table750[Projected Cost]-Table750[Actual Cost]</f>
        <v>50</v>
      </c>
    </row>
    <row r="33" spans="1:14" ht="15.75" customHeight="1" x14ac:dyDescent="0.3">
      <c r="A33" s="2"/>
      <c r="B33" s="22" t="s">
        <v>6</v>
      </c>
      <c r="C33" s="18">
        <v>200</v>
      </c>
      <c r="D33" s="30">
        <f>Table1[[#This Row],[Projected Cost]]/$F$6</f>
        <v>3.6363636363636362E-2</v>
      </c>
      <c r="E33" s="18">
        <v>180</v>
      </c>
      <c r="F33" s="19">
        <f>Table1[Projected Cost]-Table1[Actual Cost]</f>
        <v>20</v>
      </c>
      <c r="G33" s="26"/>
      <c r="H33" s="22" t="s">
        <v>21</v>
      </c>
      <c r="I33" s="18">
        <v>25</v>
      </c>
      <c r="J33" s="30">
        <f>Table750[[#This Row],[Projected Cost]]/$F$6</f>
        <v>4.5454545454545452E-3</v>
      </c>
      <c r="K33" s="18">
        <v>200</v>
      </c>
      <c r="L33" s="19">
        <f>Table750[Projected Cost]-Table750[Actual Cost]</f>
        <v>-175</v>
      </c>
    </row>
    <row r="34" spans="1:14" ht="15.75" customHeight="1" x14ac:dyDescent="0.3">
      <c r="A34" s="2"/>
      <c r="B34" s="22" t="s">
        <v>7</v>
      </c>
      <c r="C34" s="18">
        <v>50</v>
      </c>
      <c r="D34" s="30">
        <f>Table1[[#This Row],[Projected Cost]]/$F$6</f>
        <v>9.0909090909090905E-3</v>
      </c>
      <c r="E34" s="18">
        <v>40</v>
      </c>
      <c r="F34" s="19">
        <f>Table1[Projected Cost]-Table1[Actual Cost]</f>
        <v>10</v>
      </c>
      <c r="G34" s="26"/>
      <c r="H34" s="22" t="s">
        <v>22</v>
      </c>
      <c r="I34" s="18">
        <v>25</v>
      </c>
      <c r="J34" s="30">
        <f>Table750[[#This Row],[Projected Cost]]/$F$6</f>
        <v>4.5454545454545452E-3</v>
      </c>
      <c r="K34" s="18">
        <v>25</v>
      </c>
      <c r="L34" s="19">
        <f>Table750[Projected Cost]-Table750[Actual Cost]</f>
        <v>0</v>
      </c>
    </row>
    <row r="35" spans="1:14" ht="15.75" customHeight="1" x14ac:dyDescent="0.3">
      <c r="A35" s="2"/>
      <c r="B35" s="22" t="s">
        <v>8</v>
      </c>
      <c r="C35" s="18">
        <v>40</v>
      </c>
      <c r="D35" s="30">
        <f>Table1[[#This Row],[Projected Cost]]/$F$6</f>
        <v>7.2727272727272727E-3</v>
      </c>
      <c r="E35" s="18">
        <v>20</v>
      </c>
      <c r="F35" s="19">
        <f>Table1[Projected Cost]-Table1[Actual Cost]</f>
        <v>20</v>
      </c>
      <c r="G35" s="26"/>
      <c r="H35" s="22" t="s">
        <v>12</v>
      </c>
      <c r="I35" s="18">
        <v>0</v>
      </c>
      <c r="J35" s="30">
        <f>Table750[[#This Row],[Projected Cost]]/$F$6</f>
        <v>0</v>
      </c>
      <c r="K35" s="18">
        <v>10</v>
      </c>
      <c r="L35" s="19">
        <f>Table750[Projected Cost]-Table750[Actual Cost]</f>
        <v>-10</v>
      </c>
    </row>
    <row r="36" spans="1:14" ht="15.75" customHeight="1" x14ac:dyDescent="0.3">
      <c r="A36" s="2"/>
      <c r="B36" s="22" t="s">
        <v>9</v>
      </c>
      <c r="C36" s="18">
        <v>60</v>
      </c>
      <c r="D36" s="30">
        <f>Table1[[#This Row],[Projected Cost]]/$F$6</f>
        <v>1.090909090909091E-2</v>
      </c>
      <c r="E36" s="18">
        <v>30</v>
      </c>
      <c r="F36" s="19">
        <f>Table1[Projected Cost]-Table1[Actual Cost]</f>
        <v>30</v>
      </c>
      <c r="G36" s="26"/>
      <c r="H36" s="15" t="s">
        <v>54</v>
      </c>
      <c r="I36" s="18">
        <f>SUBTOTAL(109,Table750[Projected Cost])</f>
        <v>150</v>
      </c>
      <c r="J36" s="34">
        <f>SUBTOTAL(109,Table750[% of Income])</f>
        <v>2.7272727272727275E-2</v>
      </c>
      <c r="K36" s="18">
        <f>SUBTOTAL(109,Table750[Actual Cost])</f>
        <v>285</v>
      </c>
      <c r="L36" s="21">
        <f>SUBTOTAL(109,Table750[Difference])</f>
        <v>-135</v>
      </c>
    </row>
    <row r="37" spans="1:14" ht="15.75" customHeight="1" x14ac:dyDescent="0.3">
      <c r="A37" s="2"/>
      <c r="B37" s="22" t="s">
        <v>10</v>
      </c>
      <c r="C37" s="18">
        <v>80</v>
      </c>
      <c r="D37" s="30">
        <f>Table1[[#This Row],[Projected Cost]]/$F$6</f>
        <v>1.4545454545454545E-2</v>
      </c>
      <c r="E37" s="18">
        <v>50</v>
      </c>
      <c r="F37" s="19">
        <f>Table1[Projected Cost]-Table1[Actual Cost]</f>
        <v>30</v>
      </c>
      <c r="G37" s="26"/>
      <c r="H37" s="25"/>
      <c r="I37" s="27"/>
      <c r="J37" s="29"/>
      <c r="K37" s="27"/>
      <c r="L37" s="27"/>
    </row>
    <row r="38" spans="1:14" ht="15.75" customHeight="1" x14ac:dyDescent="0.3">
      <c r="A38" s="2"/>
      <c r="B38" s="22" t="s">
        <v>11</v>
      </c>
      <c r="C38" s="18">
        <v>20</v>
      </c>
      <c r="D38" s="30">
        <f>Table1[[#This Row],[Projected Cost]]/$F$6</f>
        <v>3.6363636363636364E-3</v>
      </c>
      <c r="E38" s="18">
        <v>50</v>
      </c>
      <c r="F38" s="19">
        <f>Table1[Projected Cost]-Table1[Actual Cost]</f>
        <v>-30</v>
      </c>
      <c r="G38" s="26"/>
      <c r="H38" s="15" t="s">
        <v>40</v>
      </c>
      <c r="I38" s="16" t="s">
        <v>0</v>
      </c>
      <c r="J38" s="16" t="s">
        <v>58</v>
      </c>
      <c r="K38" s="16" t="s">
        <v>1</v>
      </c>
      <c r="L38" s="17" t="s">
        <v>2</v>
      </c>
    </row>
    <row r="39" spans="1:14" ht="15.75" customHeight="1" x14ac:dyDescent="0.3">
      <c r="A39" s="2"/>
      <c r="B39" s="22" t="s">
        <v>12</v>
      </c>
      <c r="C39" s="18">
        <v>30</v>
      </c>
      <c r="D39" s="30">
        <f>Table1[[#This Row],[Projected Cost]]/$F$6</f>
        <v>5.454545454545455E-3</v>
      </c>
      <c r="E39" s="18">
        <v>25</v>
      </c>
      <c r="F39" s="19">
        <f>Table1[Projected Cost]-Table1[Actual Cost]</f>
        <v>5</v>
      </c>
      <c r="G39" s="26"/>
      <c r="H39" s="22" t="s">
        <v>24</v>
      </c>
      <c r="I39" s="18">
        <v>20</v>
      </c>
      <c r="J39" s="30">
        <f>Table2215255[[#This Row],[Projected Cost]]/$F$6</f>
        <v>3.6363636363636364E-3</v>
      </c>
      <c r="K39" s="18">
        <v>75</v>
      </c>
      <c r="L39" s="19">
        <f>Table2215255[Projected Cost]-Table2215255[Actual Cost]</f>
        <v>-55</v>
      </c>
    </row>
    <row r="40" spans="1:14" ht="15.75" customHeight="1" x14ac:dyDescent="0.3">
      <c r="A40" s="2"/>
      <c r="B40" s="15" t="s">
        <v>54</v>
      </c>
      <c r="C40" s="18">
        <f>SUBTOTAL(109,Table1[Projected Cost])</f>
        <v>2090</v>
      </c>
      <c r="D40" s="35">
        <f>SUBTOTAL(109,Table1[% of Income])</f>
        <v>0.38</v>
      </c>
      <c r="E40" s="18">
        <f>SUBTOTAL(109,Table1[Actual Cost])</f>
        <v>2055</v>
      </c>
      <c r="F40" s="21">
        <f>SUBTOTAL(109,Table1[Difference])</f>
        <v>35</v>
      </c>
      <c r="G40" s="26"/>
      <c r="H40" s="22" t="s">
        <v>25</v>
      </c>
      <c r="I40" s="18">
        <v>20</v>
      </c>
      <c r="J40" s="30">
        <f>Table2215255[[#This Row],[Projected Cost]]/$F$6</f>
        <v>3.6363636363636364E-3</v>
      </c>
      <c r="K40" s="18">
        <v>20</v>
      </c>
      <c r="L40" s="19">
        <f>Table2215255[Projected Cost]-Table2215255[Actual Cost]</f>
        <v>0</v>
      </c>
    </row>
    <row r="41" spans="1:14" ht="15.75" customHeight="1" x14ac:dyDescent="0.3">
      <c r="A41" s="2"/>
      <c r="B41" s="46"/>
      <c r="C41" s="46"/>
      <c r="D41" s="46"/>
      <c r="E41" s="46"/>
      <c r="F41" s="23"/>
      <c r="G41" s="27"/>
      <c r="H41" s="22" t="s">
        <v>35</v>
      </c>
      <c r="I41" s="18">
        <v>200</v>
      </c>
      <c r="J41" s="30">
        <f>Table2215255[[#This Row],[Projected Cost]]/$F$6</f>
        <v>3.6363636363636362E-2</v>
      </c>
      <c r="K41" s="18">
        <v>100</v>
      </c>
      <c r="L41" s="19">
        <f>Table2215255[Projected Cost]-Table2215255[Actual Cost]</f>
        <v>100</v>
      </c>
    </row>
    <row r="42" spans="1:14" ht="15.75" customHeight="1" x14ac:dyDescent="0.3">
      <c r="A42" s="2"/>
      <c r="B42" s="15" t="s">
        <v>42</v>
      </c>
      <c r="C42" s="16" t="s">
        <v>0</v>
      </c>
      <c r="D42" s="16" t="s">
        <v>58</v>
      </c>
      <c r="E42" s="16" t="s">
        <v>1</v>
      </c>
      <c r="F42" s="17" t="s">
        <v>2</v>
      </c>
      <c r="G42" s="23"/>
      <c r="H42" s="22" t="s">
        <v>12</v>
      </c>
      <c r="I42" s="18">
        <v>0</v>
      </c>
      <c r="J42" s="30">
        <f>Table2215255[[#This Row],[Projected Cost]]/$F$6</f>
        <v>0</v>
      </c>
      <c r="K42" s="18">
        <v>0</v>
      </c>
      <c r="L42" s="19">
        <f>Table2215255[Projected Cost]-Table2215255[Actual Cost]</f>
        <v>0</v>
      </c>
    </row>
    <row r="43" spans="1:14" ht="15.75" customHeight="1" x14ac:dyDescent="0.3">
      <c r="A43" s="2"/>
      <c r="B43" s="22" t="s">
        <v>34</v>
      </c>
      <c r="C43" s="18">
        <v>250</v>
      </c>
      <c r="D43" s="30">
        <f>Table3[[#This Row],[Projected Cost]]/$F$6</f>
        <v>4.5454545454545456E-2</v>
      </c>
      <c r="E43" s="18">
        <v>250</v>
      </c>
      <c r="F43" s="19">
        <f>Table3[Projected Cost]-Table3[Actual Cost]</f>
        <v>0</v>
      </c>
      <c r="G43" s="25"/>
      <c r="H43" s="15" t="s">
        <v>54</v>
      </c>
      <c r="I43" s="20">
        <f>SUBTOTAL(109,Table2215255[Projected Cost])</f>
        <v>240</v>
      </c>
      <c r="J43" s="36">
        <f>SUBTOTAL(109,Table2215255[% of Income])</f>
        <v>4.3636363636363633E-2</v>
      </c>
      <c r="K43" s="18">
        <f>SUBTOTAL(109,Table2215255[Actual Cost])</f>
        <v>195</v>
      </c>
      <c r="L43" s="21">
        <f>SUBTOTAL(109,Table2215255[Difference])</f>
        <v>45</v>
      </c>
    </row>
    <row r="44" spans="1:14" ht="15.75" customHeight="1" x14ac:dyDescent="0.3">
      <c r="A44" s="2"/>
      <c r="B44" s="22" t="s">
        <v>34</v>
      </c>
      <c r="C44" s="18">
        <v>200</v>
      </c>
      <c r="D44" s="30">
        <f>Table3[[#This Row],[Projected Cost]]/$F$6</f>
        <v>3.6363636363636362E-2</v>
      </c>
      <c r="E44" s="18">
        <v>200</v>
      </c>
      <c r="F44" s="19">
        <f>Table3[Projected Cost]-Table3[Actual Cost]</f>
        <v>0</v>
      </c>
      <c r="G44" s="26"/>
      <c r="H44" s="25"/>
      <c r="I44" s="27"/>
      <c r="J44" s="29"/>
      <c r="K44" s="27"/>
      <c r="L44" s="27"/>
    </row>
    <row r="45" spans="1:14" ht="15.75" customHeight="1" x14ac:dyDescent="0.3">
      <c r="A45" s="2"/>
      <c r="B45" s="22" t="s">
        <v>13</v>
      </c>
      <c r="C45" s="18">
        <v>50</v>
      </c>
      <c r="D45" s="30">
        <f>Table3[[#This Row],[Projected Cost]]/$F$6</f>
        <v>9.0909090909090905E-3</v>
      </c>
      <c r="E45" s="18">
        <v>50</v>
      </c>
      <c r="F45" s="19">
        <f>Table3[Projected Cost]-Table3[Actual Cost]</f>
        <v>0</v>
      </c>
      <c r="G45" s="26"/>
      <c r="H45" s="15" t="s">
        <v>47</v>
      </c>
      <c r="I45" s="16" t="s">
        <v>0</v>
      </c>
      <c r="J45" s="16" t="s">
        <v>58</v>
      </c>
      <c r="K45" s="16" t="s">
        <v>1</v>
      </c>
      <c r="L45" s="17" t="s">
        <v>2</v>
      </c>
      <c r="M45" s="27"/>
    </row>
    <row r="46" spans="1:14" ht="15.75" customHeight="1" x14ac:dyDescent="0.3">
      <c r="A46" s="2"/>
      <c r="B46" s="22" t="s">
        <v>14</v>
      </c>
      <c r="C46" s="18">
        <v>50</v>
      </c>
      <c r="D46" s="30">
        <f>Table3[[#This Row],[Projected Cost]]/$F$6</f>
        <v>9.0909090909090905E-3</v>
      </c>
      <c r="E46" s="18">
        <v>100</v>
      </c>
      <c r="F46" s="19">
        <f>Table3[Projected Cost]-Table3[Actual Cost]</f>
        <v>-50</v>
      </c>
      <c r="G46" s="26"/>
      <c r="H46" s="22" t="s">
        <v>65</v>
      </c>
      <c r="I46" s="18">
        <v>100</v>
      </c>
      <c r="J46" s="30">
        <f>Table122253[[#This Row],[Projected Cost]]/$F$6</f>
        <v>1.8181818181818181E-2</v>
      </c>
      <c r="K46" s="18">
        <v>100</v>
      </c>
      <c r="L46" s="19">
        <f>Table122253[Projected Cost]-Table122253[Actual Cost]</f>
        <v>0</v>
      </c>
      <c r="M46" s="27"/>
      <c r="N46" s="27"/>
    </row>
    <row r="47" spans="1:14" ht="15.75" customHeight="1" x14ac:dyDescent="0.3">
      <c r="A47" s="2"/>
      <c r="B47" s="22" t="s">
        <v>15</v>
      </c>
      <c r="C47" s="18">
        <v>25</v>
      </c>
      <c r="D47" s="30">
        <f>Table3[[#This Row],[Projected Cost]]/$F$6</f>
        <v>4.5454545454545452E-3</v>
      </c>
      <c r="E47" s="18">
        <v>0</v>
      </c>
      <c r="F47" s="19">
        <f>Table3[Projected Cost]-Table3[Actual Cost]</f>
        <v>25</v>
      </c>
      <c r="G47" s="26"/>
      <c r="H47" s="22" t="s">
        <v>29</v>
      </c>
      <c r="I47" s="18">
        <v>50</v>
      </c>
      <c r="J47" s="30">
        <f>Table122253[[#This Row],[Projected Cost]]/$F$6</f>
        <v>9.0909090909090905E-3</v>
      </c>
      <c r="K47" s="18">
        <v>50</v>
      </c>
      <c r="L47" s="19">
        <f>Table122253[Projected Cost]-Table122253[Actual Cost]</f>
        <v>0</v>
      </c>
      <c r="M47" s="27"/>
      <c r="N47" s="27"/>
    </row>
    <row r="48" spans="1:14" ht="15.75" customHeight="1" x14ac:dyDescent="0.3">
      <c r="A48" s="2"/>
      <c r="B48" s="22" t="s">
        <v>12</v>
      </c>
      <c r="C48" s="18">
        <v>0</v>
      </c>
      <c r="D48" s="30">
        <f>Table3[[#This Row],[Projected Cost]]/$F$6</f>
        <v>0</v>
      </c>
      <c r="E48" s="18">
        <v>0</v>
      </c>
      <c r="F48" s="19">
        <f>Table3[Projected Cost]-Table3[Actual Cost]</f>
        <v>0</v>
      </c>
      <c r="G48" s="26"/>
      <c r="H48" s="22" t="s">
        <v>12</v>
      </c>
      <c r="I48" s="18">
        <v>0</v>
      </c>
      <c r="J48" s="30">
        <f>Table122253[[#This Row],[Projected Cost]]/$F$6</f>
        <v>0</v>
      </c>
      <c r="K48" s="18">
        <v>0</v>
      </c>
      <c r="L48" s="19">
        <f>Table122253[Projected Cost]-Table122253[Actual Cost]</f>
        <v>0</v>
      </c>
      <c r="M48" s="27"/>
      <c r="N48" s="27"/>
    </row>
    <row r="49" spans="1:14" ht="15.75" customHeight="1" x14ac:dyDescent="0.3">
      <c r="A49" s="2"/>
      <c r="B49" s="15" t="s">
        <v>54</v>
      </c>
      <c r="C49" s="18">
        <f>SUBTOTAL(109,Table3[Projected Cost])</f>
        <v>575</v>
      </c>
      <c r="D49" s="34">
        <f>SUBTOTAL(109,Table3[% of Income])</f>
        <v>0.10454545454545455</v>
      </c>
      <c r="E49" s="18">
        <f>SUBTOTAL(109,Table3[Actual Cost])</f>
        <v>600</v>
      </c>
      <c r="F49" s="21">
        <f>SUBTOTAL(109,Table3[Difference])</f>
        <v>-25</v>
      </c>
      <c r="G49" s="26"/>
      <c r="H49" s="15" t="s">
        <v>54</v>
      </c>
      <c r="I49" s="18">
        <f>SUBTOTAL(109,Table122253[Projected Cost])</f>
        <v>150</v>
      </c>
      <c r="J49" s="34">
        <f>SUBTOTAL(109,Table122253[% of Income])</f>
        <v>2.7272727272727271E-2</v>
      </c>
      <c r="K49" s="18">
        <f>SUBTOTAL(109,Table122253[Actual Cost])</f>
        <v>150</v>
      </c>
      <c r="L49" s="21">
        <f>SUBTOTAL(109,Table122253[Difference])</f>
        <v>0</v>
      </c>
      <c r="M49" s="27"/>
      <c r="N49" s="27"/>
    </row>
    <row r="50" spans="1:14" ht="15.75" customHeight="1" x14ac:dyDescent="0.3">
      <c r="A50" s="2"/>
      <c r="B50" s="25"/>
      <c r="C50" s="27"/>
      <c r="D50" s="34"/>
      <c r="E50" s="27"/>
      <c r="F50" s="27"/>
      <c r="G50" s="26"/>
      <c r="H50" s="25"/>
      <c r="I50" s="27"/>
      <c r="J50" s="34"/>
      <c r="K50" s="27"/>
      <c r="L50" s="27"/>
      <c r="M50" s="27"/>
      <c r="N50" s="27"/>
    </row>
    <row r="51" spans="1:14" ht="15.75" customHeight="1" x14ac:dyDescent="0.3">
      <c r="A51" s="2"/>
      <c r="B51" s="15" t="s">
        <v>66</v>
      </c>
      <c r="C51" s="16" t="s">
        <v>0</v>
      </c>
      <c r="D51" s="16" t="s">
        <v>58</v>
      </c>
      <c r="E51" s="16" t="s">
        <v>1</v>
      </c>
      <c r="F51" s="17" t="s">
        <v>2</v>
      </c>
      <c r="G51" s="26"/>
      <c r="H51" s="39" t="s">
        <v>51</v>
      </c>
      <c r="I51" s="40"/>
      <c r="J51" s="40"/>
      <c r="K51" s="41"/>
      <c r="L51" s="45">
        <f>SUM(C16,C21,C27,C40,C49,C56,I16,I22,I29,I36,I43,I49)</f>
        <v>5435</v>
      </c>
      <c r="M51" s="27"/>
      <c r="N51" s="27"/>
    </row>
    <row r="52" spans="1:14" ht="15.75" customHeight="1" x14ac:dyDescent="0.3">
      <c r="A52" s="2"/>
      <c r="B52" s="22" t="s">
        <v>67</v>
      </c>
      <c r="C52" s="18">
        <v>50</v>
      </c>
      <c r="D52" s="30">
        <f>Table115859[[#This Row],[Projected Cost]]/$F$6</f>
        <v>9.0909090909090905E-3</v>
      </c>
      <c r="E52" s="18">
        <v>25</v>
      </c>
      <c r="F52" s="19">
        <f>Table115859[Projected Cost]-Table115859[Actual Cost]</f>
        <v>25</v>
      </c>
      <c r="G52" s="26"/>
      <c r="H52" s="42"/>
      <c r="I52" s="43"/>
      <c r="J52" s="43"/>
      <c r="K52" s="44"/>
      <c r="L52" s="45"/>
      <c r="M52" s="27"/>
      <c r="N52" s="27"/>
    </row>
    <row r="53" spans="1:14" ht="15.75" customHeight="1" x14ac:dyDescent="0.3">
      <c r="A53" s="2"/>
      <c r="B53" s="22" t="s">
        <v>68</v>
      </c>
      <c r="C53" s="18">
        <v>50</v>
      </c>
      <c r="D53" s="30">
        <f>Table115859[[#This Row],[Projected Cost]]/$F$6</f>
        <v>9.0909090909090905E-3</v>
      </c>
      <c r="E53" s="18">
        <v>25</v>
      </c>
      <c r="F53" s="19">
        <f>Table115859[Projected Cost]-Table115859[Actual Cost]</f>
        <v>25</v>
      </c>
      <c r="G53" s="26"/>
      <c r="H53" s="39" t="s">
        <v>52</v>
      </c>
      <c r="I53" s="40"/>
      <c r="J53" s="40"/>
      <c r="K53" s="41"/>
      <c r="L53" s="45">
        <f>SUM(E16,E21,E27,E40,E49,E56,K16,K22,K29,K36,K43,K49)</f>
        <v>5550</v>
      </c>
      <c r="M53" s="27"/>
      <c r="N53" s="27"/>
    </row>
    <row r="54" spans="1:14" ht="15.75" customHeight="1" x14ac:dyDescent="0.3">
      <c r="A54" s="2"/>
      <c r="B54" s="22" t="s">
        <v>69</v>
      </c>
      <c r="C54" s="32">
        <v>50</v>
      </c>
      <c r="D54" s="30">
        <f>Table115859[[#This Row],[Projected Cost]]/$F$6</f>
        <v>9.0909090909090905E-3</v>
      </c>
      <c r="E54" s="32">
        <v>50</v>
      </c>
      <c r="F54" s="31">
        <f>Table115859[Projected Cost]-Table115859[Actual Cost]</f>
        <v>0</v>
      </c>
      <c r="G54" s="26"/>
      <c r="H54" s="42"/>
      <c r="I54" s="43"/>
      <c r="J54" s="43"/>
      <c r="K54" s="44"/>
      <c r="L54" s="45"/>
      <c r="M54" s="27"/>
      <c r="N54" s="27"/>
    </row>
    <row r="55" spans="1:14" ht="15.75" customHeight="1" x14ac:dyDescent="0.3">
      <c r="A55" s="2"/>
      <c r="B55" s="22" t="s">
        <v>12</v>
      </c>
      <c r="C55" s="18">
        <v>0</v>
      </c>
      <c r="D55" s="30">
        <f>Table115859[[#This Row],[Projected Cost]]/$F$6</f>
        <v>0</v>
      </c>
      <c r="E55" s="18">
        <v>0</v>
      </c>
      <c r="F55" s="19">
        <f>Table115859[Projected Cost]-Table115859[Actual Cost]</f>
        <v>0</v>
      </c>
      <c r="G55" s="26"/>
      <c r="H55" s="39" t="s">
        <v>53</v>
      </c>
      <c r="I55" s="40"/>
      <c r="J55" s="40"/>
      <c r="K55" s="54"/>
      <c r="L55" s="37">
        <f>SUM(F16,F21,F27,F40,F49,F56,L16,L22,L29,L36,L43,L49)</f>
        <v>-115</v>
      </c>
      <c r="M55" s="27"/>
      <c r="N55" s="27"/>
    </row>
    <row r="56" spans="1:14" ht="15.75" customHeight="1" x14ac:dyDescent="0.3">
      <c r="A56" s="2"/>
      <c r="B56" s="15" t="s">
        <v>54</v>
      </c>
      <c r="C56" s="18">
        <f>SUBTOTAL(109,Table115859[Projected Cost])</f>
        <v>150</v>
      </c>
      <c r="D56" s="33">
        <f>SUBTOTAL(109,Table115859[% of Income])</f>
        <v>2.7272727272727271E-2</v>
      </c>
      <c r="E56" s="18">
        <f>SUBTOTAL(109,Table115859[Actual Cost])</f>
        <v>100</v>
      </c>
      <c r="F56" s="21">
        <f>SUBTOTAL(109,Table115859[Difference])</f>
        <v>50</v>
      </c>
      <c r="G56" s="26"/>
      <c r="H56" s="42"/>
      <c r="I56" s="43"/>
      <c r="J56" s="43"/>
      <c r="K56" s="55"/>
      <c r="L56" s="38"/>
      <c r="M56" s="27"/>
      <c r="N56" s="27"/>
    </row>
    <row r="58" spans="1:14" x14ac:dyDescent="0.3">
      <c r="I58" s="26"/>
      <c r="J58" s="23"/>
      <c r="K58" s="25"/>
      <c r="L58" s="28"/>
    </row>
    <row r="59" spans="1:14" x14ac:dyDescent="0.3">
      <c r="I59" s="26"/>
      <c r="J59" s="23"/>
      <c r="K59" s="25"/>
      <c r="L59" s="28"/>
    </row>
    <row r="60" spans="1:14" x14ac:dyDescent="0.3">
      <c r="I60" s="26"/>
      <c r="J60" s="23"/>
      <c r="K60" s="25"/>
      <c r="L60" s="28"/>
    </row>
    <row r="61" spans="1:14" x14ac:dyDescent="0.3">
      <c r="I61" s="26"/>
      <c r="J61" s="23"/>
      <c r="K61" s="25"/>
      <c r="L61" s="28"/>
    </row>
    <row r="62" spans="1:14" x14ac:dyDescent="0.3">
      <c r="I62" s="26"/>
      <c r="J62" s="23"/>
      <c r="K62" s="25"/>
      <c r="L62" s="28"/>
    </row>
  </sheetData>
  <mergeCells count="25">
    <mergeCell ref="B2:J2"/>
    <mergeCell ref="D6:E6"/>
    <mergeCell ref="D7:E7"/>
    <mergeCell ref="D8:E8"/>
    <mergeCell ref="D9:E9"/>
    <mergeCell ref="B3:D3"/>
    <mergeCell ref="D4:E4"/>
    <mergeCell ref="B4:C6"/>
    <mergeCell ref="B7:C9"/>
    <mergeCell ref="H51:K52"/>
    <mergeCell ref="L51:L52"/>
    <mergeCell ref="H53:K54"/>
    <mergeCell ref="L53:L54"/>
    <mergeCell ref="D5:E5"/>
    <mergeCell ref="B41:E41"/>
    <mergeCell ref="L55:L56"/>
    <mergeCell ref="H4:K5"/>
    <mergeCell ref="L4:L5"/>
    <mergeCell ref="H6:K7"/>
    <mergeCell ref="L6:L7"/>
    <mergeCell ref="H8:K9"/>
    <mergeCell ref="L8:L9"/>
    <mergeCell ref="H17:K17"/>
    <mergeCell ref="H23:K23"/>
    <mergeCell ref="H55:K56"/>
  </mergeCells>
  <phoneticPr fontId="1" type="noConversion"/>
  <conditionalFormatting sqref="F12:F16">
    <cfRule type="iconSet" priority="14">
      <iconSet iconSet="3Signs">
        <cfvo type="percent" val="0"/>
        <cfvo type="num" val="-20"/>
        <cfvo type="num" val="0"/>
      </iconSet>
    </cfRule>
  </conditionalFormatting>
  <conditionalFormatting sqref="F24:F27">
    <cfRule type="iconSet" priority="12">
      <iconSet iconSet="3Signs">
        <cfvo type="percent" val="0"/>
        <cfvo type="num" val="-20"/>
        <cfvo type="num" val="0"/>
      </iconSet>
    </cfRule>
  </conditionalFormatting>
  <conditionalFormatting sqref="E22 F19:F21 E28">
    <cfRule type="iconSet" priority="33">
      <iconSet iconSet="3Signs">
        <cfvo type="percent" val="0"/>
        <cfvo type="num" val="-20"/>
        <cfvo type="num" val="0"/>
      </iconSet>
    </cfRule>
  </conditionalFormatting>
  <conditionalFormatting sqref="L25:L29">
    <cfRule type="iconSet" priority="8">
      <iconSet iconSet="3Signs">
        <cfvo type="percent" val="0"/>
        <cfvo type="num" val="-20"/>
        <cfvo type="num" val="0"/>
      </iconSet>
    </cfRule>
  </conditionalFormatting>
  <conditionalFormatting sqref="L46:L50">
    <cfRule type="iconSet" priority="95">
      <iconSet iconSet="3Signs">
        <cfvo type="percent" val="0"/>
        <cfvo type="num" val="-20"/>
        <cfvo type="num" val="0"/>
      </iconSet>
    </cfRule>
  </conditionalFormatting>
  <conditionalFormatting sqref="L39:L43">
    <cfRule type="iconSet" priority="4">
      <iconSet iconSet="3Signs">
        <cfvo type="percent" val="0"/>
        <cfvo type="num" val="-20"/>
        <cfvo type="num" val="0"/>
      </iconSet>
    </cfRule>
  </conditionalFormatting>
  <conditionalFormatting sqref="F52:F56">
    <cfRule type="iconSet" priority="1">
      <iconSet iconSet="3Signs">
        <cfvo type="percent" val="0"/>
        <cfvo type="num" val="-20"/>
        <cfvo type="num" val="0"/>
      </iconSet>
    </cfRule>
  </conditionalFormatting>
  <conditionalFormatting sqref="L32:L37 L19:L22 L12:L16 L44">
    <cfRule type="iconSet" priority="99">
      <iconSet iconSet="3Signs">
        <cfvo type="percent" val="0"/>
        <cfvo type="num" val="-20"/>
        <cfvo type="num" val="0"/>
      </iconSet>
    </cfRule>
  </conditionalFormatting>
  <conditionalFormatting sqref="F43:F50 N46:N56 G44:G56 G31:G41 F30:F40">
    <cfRule type="iconSet" priority="103">
      <iconSet iconSet="3Signs">
        <cfvo type="percent" val="0"/>
        <cfvo type="num" val="-20"/>
        <cfvo type="num" val="0"/>
      </iconSet>
    </cfRule>
  </conditionalFormatting>
  <pageMargins left="0.5" right="0.5" top="0.5" bottom="0.5" header="0.5" footer="0.5"/>
  <pageSetup scale="62" orientation="portrait" horizontalDpi="4294967292" r:id="rId1"/>
  <headerFooter alignWithMargins="0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90CA435-8500-4CBF-BE32-E39AD44395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Monthly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budget</dc:title>
  <dc:creator>Ashley Ogle</dc:creator>
  <cp:keywords/>
  <cp:lastModifiedBy>Irving, Gloria</cp:lastModifiedBy>
  <cp:lastPrinted>2015-10-21T20:53:17Z</cp:lastPrinted>
  <dcterms:created xsi:type="dcterms:W3CDTF">2015-10-21T19:48:41Z</dcterms:created>
  <dcterms:modified xsi:type="dcterms:W3CDTF">2019-07-10T21:10:22Z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TC100738829990</vt:lpwstr>
  </property>
</Properties>
</file>